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tabRatio="951" activeTab="5"/>
  </bookViews>
  <sheets>
    <sheet name="прил 1 вода" sheetId="1" r:id="rId1"/>
    <sheet name="прил 2 вода" sheetId="2" r:id="rId2"/>
    <sheet name="прил 3 вода" sheetId="3" r:id="rId3"/>
    <sheet name="прил 4 вода" sheetId="4" r:id="rId4"/>
    <sheet name="прил 7 вода" sheetId="5" r:id="rId5"/>
    <sheet name="Прил 6 вода " sheetId="6" r:id="rId6"/>
  </sheets>
  <externalReferences>
    <externalReference r:id="rId9"/>
    <externalReference r:id="rId10"/>
    <externalReference r:id="rId11"/>
    <externalReference r:id="rId12"/>
  </externalReferences>
  <definedNames>
    <definedName name="Z_3AF53A33_70FE_49E9_A065_B21B06E2EF8D_.wvu.PrintTitles" localSheetId="5" hidden="1">'Прил 6 вода '!$11:$12</definedName>
    <definedName name="Z_69FC8C71_D4A3_444D_8D06_932606E69795_.wvu.Rows" localSheetId="5" hidden="1">'Прил 6 вода '!$60:$60,'Прил 6 вода '!$62:$62</definedName>
    <definedName name="Z_808C0C5D_862C_4D33_87A1_72EAFB24D56D_.wvu.Rows" localSheetId="5" hidden="1">'Прил 6 вода '!$60:$62</definedName>
    <definedName name="_xlnm.Print_Titles" localSheetId="0">'прил 1 вода'!$9:$12</definedName>
    <definedName name="_xlnm.Print_Titles" localSheetId="5">'Прил 6 вода '!$11:$12</definedName>
    <definedName name="_xlnm.Print_Area" localSheetId="5">'Прил 6 вода '!$A$1:$J$108</definedName>
    <definedName name="стокиобъем11" localSheetId="0">#REF!</definedName>
    <definedName name="стокиобъем11" localSheetId="1">#REF!</definedName>
    <definedName name="стокиобъем11" localSheetId="2">#REF!</definedName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2" localSheetId="0">#REF!</definedName>
    <definedName name="стокиобъем12" localSheetId="1">#REF!</definedName>
    <definedName name="стокиобъем12" localSheetId="2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тариф11" localSheetId="0">#REF!</definedName>
    <definedName name="стокитариф11" localSheetId="1">#REF!</definedName>
    <definedName name="стокитариф11" localSheetId="2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2" localSheetId="0">#REF!</definedName>
    <definedName name="стокитариф12" localSheetId="1">#REF!</definedName>
    <definedName name="стокитариф12" localSheetId="2">#REF!</definedName>
    <definedName name="стокитариф12" localSheetId="3">#REF!</definedName>
    <definedName name="стокитариф12" localSheetId="4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<sst xmlns="http://schemas.openxmlformats.org/spreadsheetml/2006/main" count="466" uniqueCount="357">
  <si>
    <t>№ п/п</t>
  </si>
  <si>
    <t>Наименование показателей</t>
  </si>
  <si>
    <t>Производственные расходы</t>
  </si>
  <si>
    <t>1.1.</t>
  </si>
  <si>
    <t>1.2.</t>
  </si>
  <si>
    <t>1.2.1.</t>
  </si>
  <si>
    <t>1.2.1.1.</t>
  </si>
  <si>
    <t>1.2.1.2.</t>
  </si>
  <si>
    <t>1.2.2.</t>
  </si>
  <si>
    <t>1.2.3.</t>
  </si>
  <si>
    <t>топливо для производственных нужд</t>
  </si>
  <si>
    <t>1.2.4.</t>
  </si>
  <si>
    <t>1.3.</t>
  </si>
  <si>
    <t>1.4.</t>
  </si>
  <si>
    <t>ставка рабочего 1 разряда</t>
  </si>
  <si>
    <t>средний разряд</t>
  </si>
  <si>
    <t>1.5.</t>
  </si>
  <si>
    <t>процент отчислений</t>
  </si>
  <si>
    <t>1.6.</t>
  </si>
  <si>
    <t>1.7.</t>
  </si>
  <si>
    <t>1.7.1.</t>
  </si>
  <si>
    <t>1.7.2.</t>
  </si>
  <si>
    <t>1.8.</t>
  </si>
  <si>
    <t>Ремонтные расходы</t>
  </si>
  <si>
    <t>2.1.</t>
  </si>
  <si>
    <t>2.1.1.</t>
  </si>
  <si>
    <t>2.1.2.</t>
  </si>
  <si>
    <t>2.2.</t>
  </si>
  <si>
    <t>2.2.1.</t>
  </si>
  <si>
    <t>2.3.</t>
  </si>
  <si>
    <t>2.4.</t>
  </si>
  <si>
    <t>численность ремонтного персонала, чел.</t>
  </si>
  <si>
    <t>2.5.</t>
  </si>
  <si>
    <t>3.1.</t>
  </si>
  <si>
    <t>3.2.</t>
  </si>
  <si>
    <t>3.3.</t>
  </si>
  <si>
    <t>Сбытовые расходы гарантирующих организаций</t>
  </si>
  <si>
    <t>Амортизация основных средств и нематериальных активов</t>
  </si>
  <si>
    <t>6.1.</t>
  </si>
  <si>
    <t>арендная плата</t>
  </si>
  <si>
    <t>6.2.</t>
  </si>
  <si>
    <t>лизинговые платежи</t>
  </si>
  <si>
    <t>6.3.</t>
  </si>
  <si>
    <t>7.1.</t>
  </si>
  <si>
    <t>7.2.</t>
  </si>
  <si>
    <t>налог на воду</t>
  </si>
  <si>
    <t>налог на имущество</t>
  </si>
  <si>
    <t>Итого расходов</t>
  </si>
  <si>
    <t>Нормативная прибыль</t>
  </si>
  <si>
    <t>9.1.</t>
  </si>
  <si>
    <t>9.2.</t>
  </si>
  <si>
    <t>9.3.</t>
  </si>
  <si>
    <t>9.4.</t>
  </si>
  <si>
    <t>9.5.</t>
  </si>
  <si>
    <t>9.5.1.</t>
  </si>
  <si>
    <t>налог на прибыль</t>
  </si>
  <si>
    <t>Необходимая валовая выручка</t>
  </si>
  <si>
    <t>Питьевая вода</t>
  </si>
  <si>
    <t>Наименование показателя</t>
  </si>
  <si>
    <t>Единица измерения</t>
  </si>
  <si>
    <t>%</t>
  </si>
  <si>
    <t xml:space="preserve">Уровень потерь </t>
  </si>
  <si>
    <t>кВт*ч/м3</t>
  </si>
  <si>
    <t>очистка воды</t>
  </si>
  <si>
    <t>транспортировка воды</t>
  </si>
  <si>
    <t>Охват абонентов приборами учета воды</t>
  </si>
  <si>
    <t>Организация</t>
  </si>
  <si>
    <t>РЭК</t>
  </si>
  <si>
    <t>тыс.м3</t>
  </si>
  <si>
    <t>собственное производство</t>
  </si>
  <si>
    <t>Расход электрической энергии</t>
  </si>
  <si>
    <t>тыс.кВтч</t>
  </si>
  <si>
    <t>Величина расходов, не учтенных в тарифе</t>
  </si>
  <si>
    <t>1.4.1.</t>
  </si>
  <si>
    <t>численность персонала, чел.</t>
  </si>
  <si>
    <t>1.4.2.</t>
  </si>
  <si>
    <t>1.4.3.</t>
  </si>
  <si>
    <t>1.4.4.</t>
  </si>
  <si>
    <t>1.5.1.</t>
  </si>
  <si>
    <t>2.</t>
  </si>
  <si>
    <t>3.</t>
  </si>
  <si>
    <t>3.2.1.</t>
  </si>
  <si>
    <t>5.</t>
  </si>
  <si>
    <t>6.</t>
  </si>
  <si>
    <t>7.</t>
  </si>
  <si>
    <t xml:space="preserve">Наименование 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</si>
  <si>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</si>
  <si>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</si>
  <si>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</si>
  <si>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Прибыль, облагаемая налогом</t>
  </si>
  <si>
    <t>км</t>
  </si>
  <si>
    <t>Индекс потребительских цен</t>
  </si>
  <si>
    <t>с 01.07.2014 по 31.12.2014</t>
  </si>
  <si>
    <t>Показатель (группы потребителей)</t>
  </si>
  <si>
    <t>Тарифы</t>
  </si>
  <si>
    <t>со дня введения тарифа в действие по 30.06.2014</t>
  </si>
  <si>
    <t>Прочие потребители (тарифы указываются без НДС)</t>
  </si>
  <si>
    <t>Население (тарифы указываются с учетом НДС)</t>
  </si>
  <si>
    <t>1.</t>
  </si>
  <si>
    <t>2014 год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</si>
  <si>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</si>
  <si>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</si>
  <si>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</si>
  <si>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</si>
  <si>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</si>
  <si>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</si>
  <si>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</si>
  <si>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</si>
  <si>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</si>
  <si>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</si>
  <si>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</si>
  <si>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теряемой при транспортировке</t>
  </si>
  <si>
    <t xml:space="preserve">населению, в т.ч. </t>
  </si>
  <si>
    <t>бюджетным организациям, в т.ч.</t>
  </si>
  <si>
    <t>прочим потребителям, в.т.ч.</t>
  </si>
  <si>
    <t>кВтч/м3</t>
  </si>
  <si>
    <t>кг/м3 (л/м3)</t>
  </si>
  <si>
    <t>электроэнергию</t>
  </si>
  <si>
    <r>
      <t xml:space="preserve">теплоэнергию </t>
    </r>
    <r>
      <rPr>
        <sz val="12"/>
        <color indexed="10"/>
        <rFont val="Times New Roman"/>
        <family val="1"/>
      </rPr>
      <t>(если есть затраты)</t>
    </r>
  </si>
  <si>
    <r>
      <t xml:space="preserve">воду </t>
    </r>
    <r>
      <rPr>
        <sz val="12"/>
        <color indexed="10"/>
        <rFont val="Times New Roman"/>
        <family val="1"/>
      </rPr>
      <t>(если есть покупная вода)</t>
    </r>
  </si>
  <si>
    <t>ГСМ</t>
  </si>
  <si>
    <r>
      <t xml:space="preserve">уголь </t>
    </r>
    <r>
      <rPr>
        <sz val="12"/>
        <color indexed="10"/>
        <rFont val="Times New Roman"/>
        <family val="1"/>
      </rPr>
      <t>(если есть)</t>
    </r>
  </si>
  <si>
    <t>тыс. руб.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</si>
  <si>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</si>
  <si>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</si>
  <si>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</si>
  <si>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</si>
  <si>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</si>
  <si>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</si>
  <si>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</si>
  <si>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</si>
  <si>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</si>
  <si>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</si>
  <si>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</si>
  <si>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</si>
  <si>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</si>
  <si>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</si>
  <si>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</si>
  <si>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</si>
  <si>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</si>
  <si>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</si>
  <si>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</si>
  <si>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</si>
  <si>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Приобретение энергетических ресурсов</t>
  </si>
  <si>
    <t>Покупная вода</t>
  </si>
  <si>
    <t>Объем покупной воды, тыс. м3.</t>
  </si>
  <si>
    <t>Тариф покупной воды, руб./м3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</si>
  <si>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</si>
  <si>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</si>
  <si>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</si>
  <si>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</si>
  <si>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</si>
  <si>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</si>
  <si>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</si>
  <si>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</si>
  <si>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Тепловая энергия</t>
  </si>
  <si>
    <t>Расходы на оплату работ и (или) услуг выполняемых сторонними организациями</t>
  </si>
  <si>
    <t>Затраты на оплату труда основного производственного персонала</t>
  </si>
  <si>
    <t>ставка рабочего 1 разряда, руб. (по 31.12.2013 г.)</t>
  </si>
  <si>
    <t>ставка рабочего 1 разряда, руб. (по 31.12.2014 г.)</t>
  </si>
  <si>
    <t>1.4.5.</t>
  </si>
  <si>
    <t>средняя заработная плата в месяц, руб.</t>
  </si>
  <si>
    <t>Отчисления на социальные нужды основного производственного персонала</t>
  </si>
  <si>
    <t>Процент отчислений</t>
  </si>
  <si>
    <t>Расходы на уплату процентов по займам и кредитам</t>
  </si>
  <si>
    <t xml:space="preserve">Прочие расходы </t>
  </si>
  <si>
    <t>Материалы и запчасти</t>
  </si>
  <si>
    <t>Затраты на оплату труда ремонтного персонала</t>
  </si>
  <si>
    <t>2.2.2.</t>
  </si>
  <si>
    <t>2.2.3.</t>
  </si>
  <si>
    <t>Отчисления на социальные нужды ремонтного персонала</t>
  </si>
  <si>
    <t>Капитальный ремонт</t>
  </si>
  <si>
    <t>Административные расходы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</si>
  <si>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</si>
  <si>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</si>
  <si>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</si>
  <si>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</si>
  <si>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</si>
  <si>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</si>
  <si>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</si>
  <si>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</si>
  <si>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</si>
  <si>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Общеэксплуатационные расходы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</si>
  <si>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</si>
  <si>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</si>
  <si>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</si>
  <si>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</si>
  <si>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</si>
  <si>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</si>
  <si>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</si>
  <si>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</si>
  <si>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</si>
  <si>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</si>
  <si>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</si>
  <si>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</si>
  <si>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</si>
  <si>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</si>
  <si>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</si>
  <si>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</si>
  <si>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</si>
  <si>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>2014год</t>
  </si>
  <si>
    <t>организация</t>
  </si>
  <si>
    <t>Прибыль на прочие цели</t>
  </si>
  <si>
    <t>Налоги, сборы, платежи</t>
  </si>
  <si>
    <t xml:space="preserve">Факт </t>
  </si>
  <si>
    <t xml:space="preserve">План </t>
  </si>
  <si>
    <t>руб./м3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</si>
  <si>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</si>
  <si>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 xml:space="preserve">Расходы, учтенные и неучтенные при расчете тарифа   </t>
  </si>
  <si>
    <t xml:space="preserve">Целевые показатели деятельности </t>
  </si>
  <si>
    <t xml:space="preserve">Тарифы на питьевую воду для потребителей </t>
  </si>
  <si>
    <t xml:space="preserve">                                                                                         к экспертному заключению </t>
  </si>
  <si>
    <t xml:space="preserve">                                                                                          к экспертному заключению </t>
  </si>
  <si>
    <t xml:space="preserve">                                                                                          Приложение № 1                   
                    </t>
  </si>
  <si>
    <t>Объем воды, пропускаемой через очистные сооружения</t>
  </si>
  <si>
    <t>15.1.</t>
  </si>
  <si>
    <t>15.2.</t>
  </si>
  <si>
    <t>15.3.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</si>
  <si>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</si>
  <si>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</si>
  <si>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</si>
  <si>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</si>
  <si>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</si>
  <si>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</si>
  <si>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</si>
  <si>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</si>
  <si>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</si>
  <si>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</si>
  <si>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 отпуска воды всего:  в т.ч.</t>
  </si>
  <si>
    <t>13.1.</t>
  </si>
  <si>
    <t>13.1.1.</t>
  </si>
  <si>
    <t>по приборам учета</t>
  </si>
  <si>
    <t>13.2.</t>
  </si>
  <si>
    <t>13.3.</t>
  </si>
  <si>
    <t>13.3.1.</t>
  </si>
  <si>
    <t>13.4.</t>
  </si>
  <si>
    <t>13.4.1.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</si>
  <si>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</si>
  <si>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подъем воды</t>
  </si>
  <si>
    <t>Норматив технологических  затрат химреагентов, в т.ч:</t>
  </si>
  <si>
    <t>16.1.</t>
  </si>
  <si>
    <t>(по наименованиям)</t>
  </si>
  <si>
    <t>16.2.</t>
  </si>
  <si>
    <t>Индексы  роста цен на энергетические ресурсы</t>
  </si>
  <si>
    <t xml:space="preserve">18.1. </t>
  </si>
  <si>
    <t>18.2.</t>
  </si>
  <si>
    <t>18.3.</t>
  </si>
  <si>
    <t>18.5.</t>
  </si>
  <si>
    <t xml:space="preserve">                                                                                          по делу № 2-14в</t>
  </si>
  <si>
    <t>(Мотыгинский район, п. Мотыгино, ИНН 2426004880)</t>
  </si>
  <si>
    <t>Общества с ограниченной ответственностью «Ангарская ТГК»</t>
  </si>
  <si>
    <t xml:space="preserve">                                                                                          Приложение № 7                   
                    </t>
  </si>
  <si>
    <t>Приложение № 6</t>
  </si>
  <si>
    <t>Расчет расходов, нормативной прибыли, необходимой валовой выручки  и расчет тарифа для осуществления холодного водоснабжения (тариф на питьевую воду) на 2014 год</t>
  </si>
  <si>
    <t>Общества с ограниченной ответственностью «Ангарская  теплогенерирующая компания»</t>
  </si>
  <si>
    <t>Предложение организации на 2014 г., тыс.руб.</t>
  </si>
  <si>
    <t>Предложение организации а 9 мес</t>
  </si>
  <si>
    <t>План регулируемого периода 2014 г., (9 мес)
тыс. руб.</t>
  </si>
  <si>
    <t>На период с 01.04.2014 по 30.06.2014, (3 мес) тыс.руб.</t>
  </si>
  <si>
    <t>На период с 0.07.2014 по 31.12.2014, (6 мес)  тыс.руб.</t>
  </si>
  <si>
    <t>ГОД</t>
  </si>
  <si>
    <t>Доля затрат</t>
  </si>
  <si>
    <t xml:space="preserve">Примечание </t>
  </si>
  <si>
    <t>Приобретение сырья, материалов, реагентов и их хранение</t>
  </si>
  <si>
    <t>Энергетические ресурсы, в том числе:</t>
  </si>
  <si>
    <t>электроэнергия (основное производство),  в том числе:</t>
  </si>
  <si>
    <t xml:space="preserve">энергия по  диапазону напряжения НН </t>
  </si>
  <si>
    <t>объем энергии (тыс. кВт*ч)</t>
  </si>
  <si>
    <t>тариф на энергию (руб./кВт*ч)</t>
  </si>
  <si>
    <t>прогноз РЭК</t>
  </si>
  <si>
    <t xml:space="preserve">энергия по  диапазону напряжения СН1 </t>
  </si>
  <si>
    <t>1.2.1.3.</t>
  </si>
  <si>
    <t xml:space="preserve">энергия по  диапазону напряжения СН2 </t>
  </si>
  <si>
    <t>1.2.1.4.</t>
  </si>
  <si>
    <t xml:space="preserve">энергия по  диапазону напряжения ВН </t>
  </si>
  <si>
    <t>1.2.1.5.</t>
  </si>
  <si>
    <t>заявленная мощность (по НН, СН1, СН2, ВН)</t>
  </si>
  <si>
    <t>тариф на заявленную мощность (руб./кВт*мес)</t>
  </si>
  <si>
    <t>годовой объём мощности (МВт)</t>
  </si>
  <si>
    <t xml:space="preserve">электроэнергия на освещение и отопление по диапазону напряжения (НН,СН1, СН2, ВН) </t>
  </si>
  <si>
    <t>тепловая энергия и теплоноситель</t>
  </si>
  <si>
    <t>1.2.5.</t>
  </si>
  <si>
    <t>покупная питьевая и (или) техническая вода</t>
  </si>
  <si>
    <t>объем покупной воды (тыс. м3)</t>
  </si>
  <si>
    <t>тариф покупной воды (руб./м3)</t>
  </si>
  <si>
    <t>оплата услуг сторонних организаций по  эксплуатации систем</t>
  </si>
  <si>
    <t>оплата труда основного производственного  персонала</t>
  </si>
  <si>
    <t>учтены межразрядный, примия -25%, районные 80%</t>
  </si>
  <si>
    <t>численность основного производственного персонала, чел.</t>
  </si>
  <si>
    <t>численность перенесена из ремонтного</t>
  </si>
  <si>
    <t>машинист 0,4ед, слесарь Кипа 0,25ед, слесарь по ремонту оборудования 0,25ед</t>
  </si>
  <si>
    <t>среднемесячная оплата труда, руб.</t>
  </si>
  <si>
    <t>отчисления на социальные нужды</t>
  </si>
  <si>
    <t>общехозяйственные расходы, в том числе:</t>
  </si>
  <si>
    <t>1.6.1.</t>
  </si>
  <si>
    <t>оплата труда общехозяйственного  персонала</t>
  </si>
  <si>
    <t>численность общехозяйственного персонала, чел.</t>
  </si>
  <si>
    <t>мастер 0,25, сторож 5 ед</t>
  </si>
  <si>
    <t>1.6.2.</t>
  </si>
  <si>
    <t>1.6.3.</t>
  </si>
  <si>
    <t>охрана труда и техника безопасности</t>
  </si>
  <si>
    <t>1.6.4.</t>
  </si>
  <si>
    <t>проведение медосмотров</t>
  </si>
  <si>
    <t>договор от 13.02.2014 № 38 с КГБУЗ "Мотыгинская районная больница"</t>
  </si>
  <si>
    <t>1.6.5.</t>
  </si>
  <si>
    <t>осуществление производственного контроля качества воды</t>
  </si>
  <si>
    <t xml:space="preserve">программа производственного контроля  не представлена (ст25, 416фз)и не согласована, затраты учтены по представленным  договорам </t>
  </si>
  <si>
    <t>1.6.6.</t>
  </si>
  <si>
    <t>прочие общехозяйственные расходы</t>
  </si>
  <si>
    <t>прочие производственные расходы, в том числе:</t>
  </si>
  <si>
    <t>аварийно-диспетчерская служба</t>
  </si>
  <si>
    <t>оплата процентов по займам и кредитам (не учитываемых при определении налогооблагаемой базы налога на прибыль)</t>
  </si>
  <si>
    <t>оплата потерь воды при транспортировке (для организаций оказывающих услуги по транспортировке воды)</t>
  </si>
  <si>
    <t>объем потерь (тыс. м3)</t>
  </si>
  <si>
    <t>тариф (руб./м3)</t>
  </si>
  <si>
    <t>текущий ремонт централизованных систем, в том числе:</t>
  </si>
  <si>
    <t>приобретение сырья и материалов, используемых для проведения ремонтных работ</t>
  </si>
  <si>
    <t>транспортные расходы организации</t>
  </si>
  <si>
    <t>оплата услуг (работ) сторонних организаций по текущему ремонту (в соответствии с ФЗ -223, на основании проведенных конкурсов), в том числе:</t>
  </si>
  <si>
    <t>транспортные услуги сторонних организаций</t>
  </si>
  <si>
    <t>капитальный ремонт</t>
  </si>
  <si>
    <t>не представлен договор подряда</t>
  </si>
  <si>
    <t>оплата труда ремонтного персонала</t>
  </si>
  <si>
    <t>слесарь Авр 0,25ед, электрогазосварщик 0,25ед, обходчик 1 ед</t>
  </si>
  <si>
    <t>2.6.</t>
  </si>
  <si>
    <t>мероприятия по программе энергосбережения</t>
  </si>
  <si>
    <t>отсутствует программа по энергесбережению</t>
  </si>
  <si>
    <t>Административные расходы (указываются в доле, приходящейся на данный вид услуг)</t>
  </si>
  <si>
    <t>оплата труда административно-управленческого персонала</t>
  </si>
  <si>
    <t>численность административно-управленческого персонала, чел.</t>
  </si>
  <si>
    <t xml:space="preserve">прочие административные расходы </t>
  </si>
  <si>
    <t>не представлен расчет</t>
  </si>
  <si>
    <t xml:space="preserve">Арендная плата, в т.ч. </t>
  </si>
  <si>
    <t>концессионная плата (по концессионным соглашениям заключенным до 31.12.12)</t>
  </si>
  <si>
    <t>Оплата налогов и сборов</t>
  </si>
  <si>
    <t>плата за негативное воздействие на окружающую среду</t>
  </si>
  <si>
    <t>7.3.</t>
  </si>
  <si>
    <t>Рентабельность (%)</t>
  </si>
  <si>
    <t>Средства на возврат займов и кредитов, проценты по займам и кредитам (привлекаемые на реализацию инвестиционной программы и пополнение оборотных средств)</t>
  </si>
  <si>
    <t>Расходы на капитальные вложения (в соответствии с инвестиционной программой)</t>
  </si>
  <si>
    <t>Расходы на социальные нужды</t>
  </si>
  <si>
    <t>Другие расходы</t>
  </si>
  <si>
    <t>Налоги и сборы всего, в том числе:</t>
  </si>
  <si>
    <t>9.5.2.</t>
  </si>
  <si>
    <t>единый налог, уплачиваемый организацией, применяющей упрощенную систему налогообложения</t>
  </si>
  <si>
    <t>Объем подачи (реализация) воды всего (тыс. м3), в том числе:</t>
  </si>
  <si>
    <t>11.1.</t>
  </si>
  <si>
    <t>на собственное производство (тыс. м3)</t>
  </si>
  <si>
    <t>11.2.</t>
  </si>
  <si>
    <t>объем подачи воды абонентам (тыс. м3)</t>
  </si>
  <si>
    <t>Тариф (руб./м3)</t>
  </si>
  <si>
    <t>Тариф  с  01.07.2013 по 31.12.2013 (руб./м3)</t>
  </si>
  <si>
    <t>Индекс роста, %</t>
  </si>
  <si>
    <t>Обхват абонентов приборами учета</t>
  </si>
  <si>
    <t xml:space="preserve">                                                                                          Приложение № 4                   
                    </t>
  </si>
  <si>
    <t xml:space="preserve">                                                                                          Приложение № 2                   
                    </t>
  </si>
  <si>
    <t xml:space="preserve">                                                                                         Приложение № 3                   
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</si>
</sst>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Calibri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9" fillId="0" borderId="0" xfId="56" applyFont="1" applyAlignment="1">
      <alignment vertical="center" wrapText="1"/>
      <protection/>
    </xf>
    <xf numFmtId="0" fontId="8" fillId="0" borderId="0" xfId="56" applyFont="1" applyAlignment="1">
      <alignment vertical="center" wrapText="1"/>
      <protection/>
    </xf>
    <xf numFmtId="0" fontId="13" fillId="0" borderId="0" xfId="56" applyFont="1" applyAlignment="1">
      <alignment vertical="center" wrapText="1"/>
      <protection/>
    </xf>
    <xf numFmtId="0" fontId="5" fillId="0" borderId="0" xfId="56" applyFont="1" applyAlignment="1">
      <alignment/>
      <protection/>
    </xf>
    <xf numFmtId="0" fontId="5" fillId="0" borderId="0" xfId="56" applyFont="1" applyBorder="1" applyAlignment="1">
      <alignment/>
      <protection/>
    </xf>
    <xf numFmtId="0" fontId="5" fillId="0" borderId="0" xfId="56" applyFont="1" applyAlignment="1">
      <alignment horizontal="right"/>
      <protection/>
    </xf>
    <xf numFmtId="0" fontId="8" fillId="0" borderId="10" xfId="56" applyFont="1" applyBorder="1" applyAlignment="1">
      <alignment horizontal="center" vertical="center" wrapText="1"/>
      <protection/>
    </xf>
    <xf numFmtId="2" fontId="8" fillId="0" borderId="10" xfId="56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wrapText="1"/>
      <protection/>
    </xf>
    <xf numFmtId="0" fontId="8" fillId="0" borderId="10" xfId="58" applyFont="1" applyBorder="1" applyAlignment="1">
      <alignment horizontal="center" wrapText="1"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9" fillId="0" borderId="0" xfId="59" applyFont="1" applyAlignment="1">
      <alignment horizontal="center"/>
      <protection/>
    </xf>
    <xf numFmtId="0" fontId="8" fillId="0" borderId="0" xfId="59" applyFont="1" applyAlignment="1">
      <alignment horizontal="right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left" vertical="center" wrapText="1"/>
      <protection/>
    </xf>
    <xf numFmtId="166" fontId="3" fillId="0" borderId="10" xfId="53" applyNumberFormat="1" applyFont="1" applyBorder="1" applyAlignment="1">
      <alignment horizontal="right" vertical="center" wrapText="1"/>
      <protection/>
    </xf>
    <xf numFmtId="0" fontId="3" fillId="0" borderId="10" xfId="53" applyFont="1" applyBorder="1" applyAlignment="1">
      <alignment horizontal="right" vertical="center" wrapText="1"/>
      <protection/>
    </xf>
    <xf numFmtId="0" fontId="4" fillId="33" borderId="10" xfId="53" applyFont="1" applyFill="1" applyBorder="1" applyAlignment="1">
      <alignment horizontal="left" vertical="center" wrapText="1"/>
      <protection/>
    </xf>
    <xf numFmtId="2" fontId="3" fillId="0" borderId="10" xfId="53" applyNumberFormat="1" applyFont="1" applyBorder="1" applyAlignment="1">
      <alignment horizontal="right" vertical="center" wrapText="1"/>
      <protection/>
    </xf>
    <xf numFmtId="2" fontId="3" fillId="0" borderId="10" xfId="53" applyNumberFormat="1" applyFont="1" applyFill="1" applyBorder="1" applyAlignment="1">
      <alignment horizontal="right" vertical="center" wrapText="1"/>
      <protection/>
    </xf>
    <xf numFmtId="16" fontId="12" fillId="0" borderId="10" xfId="53" applyNumberFormat="1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left" vertical="center" wrapText="1"/>
      <protection/>
    </xf>
    <xf numFmtId="2" fontId="7" fillId="0" borderId="10" xfId="53" applyNumberFormat="1" applyFont="1" applyBorder="1" applyAlignment="1">
      <alignment horizontal="right" vertical="center" wrapText="1"/>
      <protection/>
    </xf>
    <xf numFmtId="1" fontId="7" fillId="0" borderId="10" xfId="53" applyNumberFormat="1" applyFont="1" applyBorder="1" applyAlignment="1">
      <alignment horizontal="right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164" fontId="7" fillId="0" borderId="10" xfId="53" applyNumberFormat="1" applyFont="1" applyBorder="1" applyAlignment="1">
      <alignment horizontal="right" vertical="center" wrapText="1"/>
      <protection/>
    </xf>
    <xf numFmtId="0" fontId="7" fillId="0" borderId="10" xfId="53" applyFont="1" applyBorder="1" applyAlignment="1">
      <alignment horizontal="right" vertical="center" wrapText="1"/>
      <protection/>
    </xf>
    <xf numFmtId="166" fontId="3" fillId="0" borderId="10" xfId="53" applyNumberFormat="1" applyFont="1" applyFill="1" applyBorder="1" applyAlignment="1">
      <alignment horizontal="right" vertical="center" wrapText="1"/>
      <protection/>
    </xf>
    <xf numFmtId="0" fontId="10" fillId="0" borderId="10" xfId="53" applyNumberFormat="1" applyFont="1" applyBorder="1" applyAlignment="1">
      <alignment horizontal="center" vertical="center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166" fontId="6" fillId="0" borderId="10" xfId="53" applyNumberFormat="1" applyFont="1" applyBorder="1" applyAlignment="1">
      <alignment horizontal="right" vertical="center" wrapText="1"/>
      <protection/>
    </xf>
    <xf numFmtId="0" fontId="4" fillId="0" borderId="10" xfId="53" applyNumberFormat="1" applyFont="1" applyBorder="1" applyAlignment="1">
      <alignment horizontal="center" vertical="center" wrapText="1"/>
      <protection/>
    </xf>
    <xf numFmtId="0" fontId="12" fillId="0" borderId="10" xfId="53" applyNumberFormat="1" applyFont="1" applyBorder="1" applyAlignment="1">
      <alignment horizontal="center" vertical="center" wrapText="1"/>
      <protection/>
    </xf>
    <xf numFmtId="166" fontId="7" fillId="0" borderId="10" xfId="53" applyNumberFormat="1" applyFont="1" applyBorder="1" applyAlignment="1">
      <alignment horizontal="right" vertical="center" wrapText="1"/>
      <protection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56">
      <alignment/>
      <protection/>
    </xf>
    <xf numFmtId="0" fontId="9" fillId="0" borderId="0" xfId="56" applyFont="1">
      <alignment/>
      <protection/>
    </xf>
    <xf numFmtId="0" fontId="11" fillId="0" borderId="0" xfId="56" applyFont="1">
      <alignment/>
      <protection/>
    </xf>
    <xf numFmtId="0" fontId="5" fillId="0" borderId="11" xfId="56" applyFont="1" applyBorder="1" applyAlignment="1">
      <alignment horizontal="center"/>
      <protection/>
    </xf>
    <xf numFmtId="0" fontId="2" fillId="0" borderId="0" xfId="56" applyAlignment="1">
      <alignment horizontal="center" vertical="center"/>
      <protection/>
    </xf>
    <xf numFmtId="0" fontId="4" fillId="0" borderId="10" xfId="56" applyFont="1" applyBorder="1" applyAlignment="1">
      <alignment horizontal="left" vertical="center" wrapText="1"/>
      <protection/>
    </xf>
    <xf numFmtId="0" fontId="4" fillId="0" borderId="12" xfId="56" applyFont="1" applyFill="1" applyBorder="1" applyAlignment="1" applyProtection="1">
      <alignment vertical="center" wrapText="1"/>
      <protection/>
    </xf>
    <xf numFmtId="2" fontId="4" fillId="0" borderId="10" xfId="56" applyNumberFormat="1" applyFont="1" applyBorder="1" applyAlignment="1">
      <alignment horizontal="center" vertical="center" wrapText="1"/>
      <protection/>
    </xf>
    <xf numFmtId="0" fontId="8" fillId="0" borderId="10" xfId="56" applyFont="1" applyBorder="1" applyAlignment="1">
      <alignment wrapText="1"/>
      <protection/>
    </xf>
    <xf numFmtId="0" fontId="2" fillId="0" borderId="0" xfId="57" applyAlignment="1">
      <alignment wrapText="1"/>
      <protection/>
    </xf>
    <xf numFmtId="0" fontId="11" fillId="0" borderId="0" xfId="57" applyFont="1" applyAlignment="1">
      <alignment wrapText="1"/>
      <protection/>
    </xf>
    <xf numFmtId="0" fontId="9" fillId="0" borderId="0" xfId="57" applyFont="1" applyAlignment="1">
      <alignment horizontal="right" wrapText="1"/>
      <protection/>
    </xf>
    <xf numFmtId="0" fontId="14" fillId="0" borderId="0" xfId="57" applyFont="1" applyAlignment="1">
      <alignment wrapText="1"/>
      <protection/>
    </xf>
    <xf numFmtId="0" fontId="9" fillId="0" borderId="0" xfId="57" applyFont="1" applyAlignment="1">
      <alignment horizont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2" fontId="8" fillId="0" borderId="10" xfId="57" applyNumberFormat="1" applyFont="1" applyBorder="1" applyAlignment="1">
      <alignment horizontal="center" vertical="center" wrapText="1"/>
      <protection/>
    </xf>
    <xf numFmtId="0" fontId="1" fillId="0" borderId="0" xfId="57" applyFont="1" applyBorder="1">
      <alignment/>
      <protection/>
    </xf>
    <xf numFmtId="0" fontId="1" fillId="0" borderId="0" xfId="57" applyFont="1" applyBorder="1" applyAlignment="1">
      <alignment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9" fillId="0" borderId="0" xfId="56" applyFont="1" applyAlignment="1">
      <alignment horizontal="left" vertical="center" wrapText="1"/>
      <protection/>
    </xf>
    <xf numFmtId="0" fontId="9" fillId="0" borderId="13" xfId="57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5" fillId="34" borderId="10" xfId="53" applyFont="1" applyFill="1" applyBorder="1" applyAlignment="1">
      <alignment vertical="top" wrapText="1"/>
      <protection/>
    </xf>
    <xf numFmtId="2" fontId="8" fillId="0" borderId="10" xfId="0" applyNumberFormat="1" applyFont="1" applyBorder="1" applyAlignment="1">
      <alignment horizontal="center" vertical="center" wrapText="1"/>
    </xf>
    <xf numFmtId="0" fontId="15" fillId="34" borderId="10" xfId="53" applyFont="1" applyFill="1" applyBorder="1" applyAlignment="1">
      <alignment horizontal="justify" vertical="top" wrapText="1"/>
      <protection/>
    </xf>
    <xf numFmtId="0" fontId="51" fillId="0" borderId="10" xfId="0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/>
    </xf>
    <xf numFmtId="0" fontId="9" fillId="0" borderId="14" xfId="57" applyFont="1" applyBorder="1" applyAlignment="1">
      <alignment vertical="center" wrapText="1"/>
      <protection/>
    </xf>
    <xf numFmtId="0" fontId="9" fillId="0" borderId="0" xfId="56" applyFont="1" applyAlignment="1">
      <alignment horizontal="left" vertical="center" wrapText="1"/>
      <protection/>
    </xf>
    <xf numFmtId="0" fontId="9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horizontal="center" wrapText="1"/>
      <protection/>
    </xf>
    <xf numFmtId="0" fontId="5" fillId="0" borderId="0" xfId="56" applyFont="1" applyBorder="1" applyAlignment="1">
      <alignment horizont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59" applyFont="1" applyBorder="1" applyAlignment="1">
      <alignment horizontal="center" vertical="center" wrapText="1"/>
      <protection/>
    </xf>
    <xf numFmtId="0" fontId="9" fillId="0" borderId="0" xfId="59" applyFont="1" applyAlignment="1">
      <alignment horizontal="center" vertical="center" wrapText="1"/>
      <protection/>
    </xf>
    <xf numFmtId="0" fontId="9" fillId="0" borderId="0" xfId="59" applyFont="1" applyAlignment="1">
      <alignment horizontal="center" wrapText="1"/>
      <protection/>
    </xf>
    <xf numFmtId="0" fontId="9" fillId="0" borderId="0" xfId="56" applyFont="1" applyAlignment="1">
      <alignment horizontal="center" wrapText="1"/>
      <protection/>
    </xf>
    <xf numFmtId="0" fontId="8" fillId="0" borderId="14" xfId="56" applyFont="1" applyBorder="1" applyAlignment="1">
      <alignment horizontal="center" vertical="center" wrapText="1"/>
      <protection/>
    </xf>
    <xf numFmtId="0" fontId="8" fillId="0" borderId="16" xfId="56" applyFont="1" applyBorder="1" applyAlignment="1">
      <alignment horizontal="center" vertical="center" wrapText="1"/>
      <protection/>
    </xf>
    <xf numFmtId="0" fontId="8" fillId="0" borderId="13" xfId="56" applyFont="1" applyBorder="1" applyAlignment="1">
      <alignment horizontal="center" vertical="center" wrapText="1"/>
      <protection/>
    </xf>
    <xf numFmtId="0" fontId="8" fillId="0" borderId="17" xfId="56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9" fillId="0" borderId="0" xfId="57" applyFont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center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9" fillId="0" borderId="16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0" xfId="57" applyFont="1" applyBorder="1" applyAlignment="1">
      <alignment horizontal="justify" vertical="center" wrapText="1"/>
      <protection/>
    </xf>
    <xf numFmtId="0" fontId="4" fillId="0" borderId="0" xfId="55" applyFont="1" applyAlignment="1">
      <alignment horizontal="right"/>
      <protection/>
    </xf>
    <xf numFmtId="0" fontId="3" fillId="0" borderId="0" xfId="55" applyFont="1">
      <alignment/>
      <protection/>
    </xf>
    <xf numFmtId="0" fontId="5" fillId="0" borderId="0" xfId="55" applyFont="1" applyAlignment="1">
      <alignment horizontal="right"/>
      <protection/>
    </xf>
    <xf numFmtId="0" fontId="33" fillId="0" borderId="0" xfId="55" applyFont="1" applyAlignment="1">
      <alignment horizontal="center" wrapText="1"/>
      <protection/>
    </xf>
    <xf numFmtId="0" fontId="5" fillId="0" borderId="0" xfId="55" applyFont="1" applyAlignment="1">
      <alignment horizontal="center" wrapText="1"/>
      <protection/>
    </xf>
    <xf numFmtId="0" fontId="5" fillId="0" borderId="0" xfId="55" applyFont="1" applyAlignment="1">
      <alignment horizontal="center" vertical="center" wrapText="1"/>
      <protection/>
    </xf>
    <xf numFmtId="0" fontId="4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3" fillId="0" borderId="14" xfId="55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0" xfId="55" applyFont="1" applyBorder="1" applyAlignment="1">
      <alignment horizontal="center" vertical="center" wrapText="1"/>
      <protection/>
    </xf>
    <xf numFmtId="2" fontId="3" fillId="0" borderId="10" xfId="55" applyNumberFormat="1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wrapText="1"/>
      <protection/>
    </xf>
    <xf numFmtId="0" fontId="4" fillId="0" borderId="0" xfId="55" applyFont="1">
      <alignment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wrapText="1"/>
      <protection/>
    </xf>
    <xf numFmtId="0" fontId="7" fillId="0" borderId="10" xfId="55" applyFont="1" applyBorder="1" applyAlignment="1">
      <alignment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left" vertical="center" wrapText="1"/>
      <protection/>
    </xf>
    <xf numFmtId="2" fontId="7" fillId="0" borderId="10" xfId="55" applyNumberFormat="1" applyFont="1" applyBorder="1" applyAlignment="1">
      <alignment horizontal="center" vertical="center" wrapText="1"/>
      <protection/>
    </xf>
    <xf numFmtId="0" fontId="7" fillId="0" borderId="0" xfId="55" applyFont="1">
      <alignment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left" vertical="center" wrapText="1"/>
      <protection/>
    </xf>
    <xf numFmtId="2" fontId="3" fillId="34" borderId="10" xfId="55" applyNumberFormat="1" applyFont="1" applyFill="1" applyBorder="1" applyAlignment="1">
      <alignment horizontal="center" vertical="center" wrapText="1"/>
      <protection/>
    </xf>
    <xf numFmtId="0" fontId="7" fillId="34" borderId="10" xfId="55" applyFont="1" applyFill="1" applyBorder="1" applyAlignment="1">
      <alignment horizontal="center" vertical="center"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0" fontId="7" fillId="0" borderId="10" xfId="55" applyFont="1" applyBorder="1" applyAlignment="1">
      <alignment horizontal="center" vertical="top" wrapText="1"/>
      <protection/>
    </xf>
    <xf numFmtId="2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wrapText="1"/>
      <protection/>
    </xf>
    <xf numFmtId="0" fontId="3" fillId="0" borderId="0" xfId="55" applyFont="1" applyFill="1">
      <alignment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3" fillId="0" borderId="10" xfId="55" applyFont="1" applyBorder="1" applyAlignment="1">
      <alignment vertical="center" wrapText="1"/>
      <protection/>
    </xf>
    <xf numFmtId="16" fontId="3" fillId="0" borderId="10" xfId="55" applyNumberFormat="1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wrapText="1"/>
      <protection/>
    </xf>
    <xf numFmtId="49" fontId="3" fillId="0" borderId="10" xfId="55" applyNumberFormat="1" applyFont="1" applyFill="1" applyBorder="1" applyAlignment="1" applyProtection="1">
      <alignment vertical="center" wrapText="1"/>
      <protection/>
    </xf>
    <xf numFmtId="14" fontId="3" fillId="33" borderId="10" xfId="55" applyNumberFormat="1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 applyProtection="1">
      <alignment vertical="center" wrapText="1"/>
      <protection/>
    </xf>
    <xf numFmtId="0" fontId="3" fillId="33" borderId="10" xfId="55" applyFont="1" applyFill="1" applyBorder="1" applyAlignment="1">
      <alignment wrapText="1"/>
      <protection/>
    </xf>
    <xf numFmtId="0" fontId="6" fillId="0" borderId="0" xfId="55" applyFont="1">
      <alignment/>
      <protection/>
    </xf>
    <xf numFmtId="0" fontId="3" fillId="0" borderId="10" xfId="55" applyFont="1" applyFill="1" applyBorder="1" applyAlignment="1" applyProtection="1">
      <alignment vertical="center" wrapText="1"/>
      <protection/>
    </xf>
    <xf numFmtId="2" fontId="3" fillId="0" borderId="10" xfId="55" applyNumberFormat="1" applyFont="1" applyFill="1" applyBorder="1" applyAlignment="1" applyProtection="1">
      <alignment horizontal="center" vertical="center" wrapText="1"/>
      <protection/>
    </xf>
    <xf numFmtId="14" fontId="3" fillId="0" borderId="10" xfId="55" applyNumberFormat="1" applyFont="1" applyBorder="1" applyAlignment="1">
      <alignment horizontal="center" vertical="center" wrapText="1"/>
      <protection/>
    </xf>
    <xf numFmtId="9" fontId="3" fillId="0" borderId="10" xfId="55" applyNumberFormat="1" applyFont="1" applyBorder="1" applyAlignment="1">
      <alignment wrapText="1"/>
      <protection/>
    </xf>
    <xf numFmtId="0" fontId="4" fillId="0" borderId="10" xfId="55" applyFont="1" applyBorder="1" applyAlignment="1">
      <alignment wrapText="1"/>
      <protection/>
    </xf>
    <xf numFmtId="0" fontId="3" fillId="0" borderId="0" xfId="55" applyFont="1" applyBorder="1" applyAlignment="1">
      <alignment horizontal="left" wrapText="1"/>
      <protection/>
    </xf>
    <xf numFmtId="0" fontId="3" fillId="0" borderId="0" xfId="55" applyFont="1" applyBorder="1" applyAlignment="1">
      <alignment horizontal="left" vertical="center" wrapText="1"/>
      <protection/>
    </xf>
    <xf numFmtId="0" fontId="4" fillId="0" borderId="0" xfId="55" applyFont="1" applyBorder="1" applyAlignment="1">
      <alignment horizontal="left"/>
      <protection/>
    </xf>
    <xf numFmtId="0" fontId="4" fillId="0" borderId="0" xfId="55" applyFont="1" applyBorder="1" applyAlignment="1">
      <alignment horizontal="left" vertical="center"/>
      <protection/>
    </xf>
    <xf numFmtId="0" fontId="4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left" vertical="center" wrapText="1"/>
      <protection/>
    </xf>
    <xf numFmtId="0" fontId="4" fillId="0" borderId="0" xfId="55" applyFont="1" applyBorder="1">
      <alignment/>
      <protection/>
    </xf>
    <xf numFmtId="0" fontId="3" fillId="0" borderId="0" xfId="55" applyFont="1" applyAlignment="1">
      <alignment vertical="center"/>
      <protection/>
    </xf>
    <xf numFmtId="0" fontId="4" fillId="0" borderId="0" xfId="55" applyFont="1" applyAlignment="1">
      <alignment horizontal="center" vertical="center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 applyAlignment="1">
      <alignment vertical="center"/>
      <protection/>
    </xf>
    <xf numFmtId="0" fontId="8" fillId="0" borderId="16" xfId="57" applyFont="1" applyBorder="1" applyAlignment="1">
      <alignment horizontal="center" vertical="center" wrapText="1"/>
      <protection/>
    </xf>
    <xf numFmtId="0" fontId="8" fillId="0" borderId="16" xfId="57" applyFont="1" applyBorder="1" applyAlignment="1">
      <alignment vertical="center" wrapText="1"/>
      <protection/>
    </xf>
    <xf numFmtId="2" fontId="8" fillId="0" borderId="16" xfId="57" applyNumberFormat="1" applyFont="1" applyBorder="1" applyAlignment="1">
      <alignment horizontal="center" vertical="center" wrapText="1"/>
      <protection/>
    </xf>
    <xf numFmtId="0" fontId="8" fillId="0" borderId="0" xfId="57" applyFont="1" applyBorder="1" applyAlignment="1">
      <alignment horizontal="center" vertical="center" wrapText="1"/>
      <protection/>
    </xf>
    <xf numFmtId="0" fontId="8" fillId="0" borderId="0" xfId="57" applyFont="1" applyBorder="1" applyAlignment="1">
      <alignment vertical="center" wrapText="1"/>
      <protection/>
    </xf>
    <xf numFmtId="2" fontId="52" fillId="0" borderId="0" xfId="0" applyNumberFormat="1" applyFont="1" applyBorder="1" applyAlignment="1">
      <alignment horizontal="center" vertical="center"/>
    </xf>
    <xf numFmtId="0" fontId="8" fillId="0" borderId="0" xfId="57" applyFont="1" applyBorder="1" applyAlignment="1">
      <alignment horizontal="left" vertical="center" wrapText="1"/>
      <protection/>
    </xf>
    <xf numFmtId="0" fontId="53" fillId="0" borderId="10" xfId="55" applyFont="1" applyBorder="1" applyAlignment="1">
      <alignment horizontal="left" vertical="center" wrapText="1"/>
      <protection/>
    </xf>
    <xf numFmtId="166" fontId="6" fillId="0" borderId="16" xfId="53" applyNumberFormat="1" applyFont="1" applyBorder="1" applyAlignment="1">
      <alignment horizontal="right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4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fizova\&#1056;&#1072;&#1073;&#1086;&#1095;&#1080;&#1081;%20&#1089;&#1090;&#1086;&#1083;\&#1056;&#1072;&#1089;&#1095;&#1077;&#1090;%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69;&#1082;&#1089;&#1087;&#1077;&#1088;&#1090;&#1085;&#1099;&#1077;%20&#1079;&#1072;&#1082;&#1083;&#1102;&#1095;&#1077;&#1085;&#1080;&#1103;%202013\&#1058;&#1072;&#1073;&#1083;&#1080;&#1094;&#1099;%20&#1082;%20&#1101;&#1082;&#1089;&#1087;&#1077;&#1088;&#1090;&#1085;&#1086;&#1084;&#1091;\&#1087;&#1088;&#1080;&#1083;&#1086;&#1078;&#1077;&#1085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8;&#1040;&#1056;&#1048;&#1060;&#1067;%202014\&#1045;&#1092;&#1080;&#1079;&#1086;&#1074;&#1072;\&#1058;&#1040;&#1056;&#1048;&#1060;&#1067;%202014%20&#1045;&#1057;&#1056;\&#1052;&#1086;&#1090;&#1099;&#1075;&#1080;&#1085;&#1089;&#1082;&#1080;&#1081;%20&#1088;&#1072;&#1081;&#1086;&#1085;\&#1054;&#1054;&#1054;%20&#1040;&#1085;&#1075;&#1072;&#1088;&#1089;&#1082;&#1072;&#1103;%20&#1058;&#1043;&#1050;,%20&#1052;&#1086;&#1090;&#1099;&#1075;&#1080;&#1085;&#1089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1-ХВ"/>
      <sheetName val="П 1-ВО"/>
      <sheetName val="П 1.2.1."/>
      <sheetName val="П 1.2.1.1."/>
      <sheetName val="П 1.2.3."/>
      <sheetName val="П 1.2.4."/>
      <sheetName val="П 1.2.5."/>
      <sheetName val="П 1.3."/>
      <sheetName val="П 1.4."/>
      <sheetName val="П 1.4.1."/>
      <sheetName val="П 1.6."/>
      <sheetName val="П 1.7.2."/>
      <sheetName val="П 2."/>
      <sheetName val="П 2.1.1."/>
      <sheetName val="П 2.3."/>
      <sheetName val="П 2.3.1."/>
      <sheetName val="П 3."/>
      <sheetName val="п 3.1.1."/>
      <sheetName val="П 4."/>
      <sheetName val="П 5."/>
      <sheetName val="П 6."/>
      <sheetName val="П 7."/>
      <sheetName val="П 9."/>
      <sheetName val="п 10."/>
      <sheetName val="П 11."/>
      <sheetName val="П 11.1."/>
      <sheetName val="П 11.2."/>
      <sheetName val="П 11.3."/>
      <sheetName val="П 11.3.1."/>
      <sheetName val="П 11.4."/>
      <sheetName val="П 11.5.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прил 1"/>
      <sheetName val="приложение 2"/>
      <sheetName val="прил 3"/>
      <sheetName val="прил4 в"/>
      <sheetName val="прил4 стоки"/>
      <sheetName val="пр 5"/>
      <sheetName val="прил 6"/>
      <sheetName val="прил.7 (2)"/>
      <sheetName val="реагенты"/>
      <sheetName val="электроэнергия"/>
      <sheetName val="ФОТ"/>
      <sheetName val="материалы на текущий ремонт"/>
      <sheetName val="прил.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эл. энергия "/>
      <sheetName val="РАСЧЕТ"/>
      <sheetName val="Прил 6 вода "/>
    </sheetNames>
    <sheetDataSet>
      <sheetData sheetId="0">
        <row r="12">
          <cell r="N12">
            <v>3.7729697600000005</v>
          </cell>
        </row>
        <row r="20">
          <cell r="N20">
            <v>106.362</v>
          </cell>
        </row>
      </sheetData>
      <sheetData sheetId="1">
        <row r="4">
          <cell r="B4">
            <v>176.34457</v>
          </cell>
        </row>
        <row r="13">
          <cell r="B13">
            <v>7.3592</v>
          </cell>
        </row>
        <row r="31">
          <cell r="B31">
            <v>0.9</v>
          </cell>
          <cell r="C31">
            <v>2.5555555555555554</v>
          </cell>
          <cell r="D31">
            <v>189.79919028</v>
          </cell>
        </row>
        <row r="36">
          <cell r="B36">
            <v>1.5</v>
          </cell>
          <cell r="C36">
            <v>1.6666666666666667</v>
          </cell>
          <cell r="D36">
            <v>293.857178832</v>
          </cell>
        </row>
        <row r="41">
          <cell r="B41">
            <v>5.25</v>
          </cell>
          <cell r="D41">
            <v>957.0610728</v>
          </cell>
        </row>
        <row r="61">
          <cell r="D61">
            <v>133.08312504146934</v>
          </cell>
        </row>
        <row r="62">
          <cell r="D62">
            <v>0.6431374347636306</v>
          </cell>
        </row>
        <row r="63">
          <cell r="D63">
            <v>6.174891138652569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80" zoomScaleSheetLayoutView="80" zoomScalePageLayoutView="120" workbookViewId="0" topLeftCell="B1">
      <selection activeCell="D38" sqref="D38"/>
    </sheetView>
  </sheetViews>
  <sheetFormatPr defaultColWidth="39.8515625" defaultRowHeight="15"/>
  <cols>
    <col min="1" max="1" width="7.140625" style="4" customWidth="1"/>
    <col min="2" max="2" width="36.57421875" style="4" customWidth="1"/>
    <col min="3" max="3" width="14.00390625" style="4" customWidth="1"/>
    <col min="4" max="4" width="14.421875" style="4" customWidth="1"/>
    <col min="5" max="5" width="14.140625" style="4" customWidth="1"/>
    <col min="6" max="16384" width="39.8515625" style="4" customWidth="1"/>
  </cols>
  <sheetData>
    <row r="1" spans="1:5" ht="18.75" customHeight="1">
      <c r="A1" s="80" t="s">
        <v>213</v>
      </c>
      <c r="B1" s="80"/>
      <c r="C1" s="80"/>
      <c r="D1" s="80"/>
      <c r="E1" s="80"/>
    </row>
    <row r="2" spans="1:5" ht="18.75" customHeight="1">
      <c r="A2" s="80" t="s">
        <v>212</v>
      </c>
      <c r="B2" s="80"/>
      <c r="C2" s="80"/>
      <c r="D2" s="80"/>
      <c r="E2" s="80"/>
    </row>
    <row r="3" spans="1:5" ht="18.75" customHeight="1">
      <c r="A3" s="80" t="s">
        <v>248</v>
      </c>
      <c r="B3" s="80"/>
      <c r="C3" s="80"/>
      <c r="D3" s="80"/>
      <c r="E3" s="80"/>
    </row>
    <row r="4" spans="1:5" ht="18.75">
      <c r="A4" s="3"/>
      <c r="C4" s="65"/>
      <c r="D4" s="65"/>
      <c r="E4" s="65"/>
    </row>
    <row r="5" spans="1:6" ht="20.25" customHeight="1">
      <c r="A5" s="81" t="s">
        <v>100</v>
      </c>
      <c r="B5" s="81"/>
      <c r="C5" s="81"/>
      <c r="D5" s="81"/>
      <c r="E5" s="81"/>
      <c r="F5" s="5"/>
    </row>
    <row r="6" spans="1:8" ht="18.75">
      <c r="A6" s="82" t="s">
        <v>250</v>
      </c>
      <c r="B6" s="82"/>
      <c r="C6" s="82"/>
      <c r="D6" s="82"/>
      <c r="E6" s="82"/>
      <c r="F6" s="6"/>
      <c r="G6" s="6"/>
      <c r="H6" s="6"/>
    </row>
    <row r="7" spans="1:6" ht="18.75">
      <c r="A7" s="83" t="s">
        <v>249</v>
      </c>
      <c r="B7" s="83"/>
      <c r="C7" s="83"/>
      <c r="D7" s="83"/>
      <c r="E7" s="83"/>
      <c r="F7" s="7"/>
    </row>
    <row r="8" ht="18.75">
      <c r="C8" s="8"/>
    </row>
    <row r="9" spans="1:5" ht="15" customHeight="1">
      <c r="A9" s="84" t="s">
        <v>0</v>
      </c>
      <c r="B9" s="84" t="s">
        <v>58</v>
      </c>
      <c r="C9" s="84" t="s">
        <v>59</v>
      </c>
      <c r="D9" s="87" t="s">
        <v>99</v>
      </c>
      <c r="E9" s="88"/>
    </row>
    <row r="10" spans="1:5" ht="18" customHeight="1">
      <c r="A10" s="85"/>
      <c r="B10" s="85"/>
      <c r="C10" s="85"/>
      <c r="D10" s="84" t="s">
        <v>101</v>
      </c>
      <c r="E10" s="84" t="s">
        <v>102</v>
      </c>
    </row>
    <row r="11" spans="1:5" ht="18" customHeight="1">
      <c r="A11" s="86"/>
      <c r="B11" s="86"/>
      <c r="C11" s="86"/>
      <c r="D11" s="86"/>
      <c r="E11" s="86"/>
    </row>
    <row r="12" spans="1:5" ht="15.75">
      <c r="A12" s="68">
        <v>1</v>
      </c>
      <c r="B12" s="68">
        <v>2</v>
      </c>
      <c r="C12" s="68">
        <v>3</v>
      </c>
      <c r="D12" s="68">
        <v>4</v>
      </c>
      <c r="E12" s="68">
        <v>5</v>
      </c>
    </row>
    <row r="13" spans="1:5" ht="31.5">
      <c r="A13" s="68">
        <v>1</v>
      </c>
      <c r="B13" s="71" t="s">
        <v>103</v>
      </c>
      <c r="C13" s="68" t="s">
        <v>90</v>
      </c>
      <c r="D13" s="74">
        <v>2.52</v>
      </c>
      <c r="E13" s="74">
        <f>D13</f>
        <v>2.52</v>
      </c>
    </row>
    <row r="14" spans="1:5" ht="47.25">
      <c r="A14" s="68">
        <v>2</v>
      </c>
      <c r="B14" s="71" t="s">
        <v>104</v>
      </c>
      <c r="C14" s="68" t="s">
        <v>105</v>
      </c>
      <c r="D14" s="74">
        <v>2</v>
      </c>
      <c r="E14" s="74">
        <f aca="true" t="shared" si="0" ref="E14:E41">D14</f>
        <v>2</v>
      </c>
    </row>
    <row r="15" spans="1:5" ht="31.5">
      <c r="A15" s="68">
        <v>3</v>
      </c>
      <c r="B15" s="71" t="s">
        <v>106</v>
      </c>
      <c r="C15" s="68" t="s">
        <v>105</v>
      </c>
      <c r="D15" s="74">
        <v>0</v>
      </c>
      <c r="E15" s="74">
        <f t="shared" si="0"/>
        <v>0</v>
      </c>
    </row>
    <row r="16" spans="1:5" ht="47.25">
      <c r="A16" s="68">
        <v>4</v>
      </c>
      <c r="B16" s="71" t="s">
        <v>107</v>
      </c>
      <c r="C16" s="68" t="s">
        <v>105</v>
      </c>
      <c r="D16" s="74">
        <v>0</v>
      </c>
      <c r="E16" s="74">
        <f t="shared" si="0"/>
        <v>0</v>
      </c>
    </row>
    <row r="17" spans="1:5" ht="33" customHeight="1">
      <c r="A17" s="68">
        <v>5</v>
      </c>
      <c r="B17" s="71" t="s">
        <v>108</v>
      </c>
      <c r="C17" s="68" t="s">
        <v>109</v>
      </c>
      <c r="D17" s="74">
        <v>0.8</v>
      </c>
      <c r="E17" s="74">
        <f t="shared" si="0"/>
        <v>0.8</v>
      </c>
    </row>
    <row r="18" spans="1:5" ht="22.5" customHeight="1">
      <c r="A18" s="68">
        <v>6</v>
      </c>
      <c r="B18" s="71" t="s">
        <v>110</v>
      </c>
      <c r="C18" s="68" t="s">
        <v>109</v>
      </c>
      <c r="D18" s="74">
        <f>D19/365</f>
        <v>0.015121643835616438</v>
      </c>
      <c r="E18" s="74">
        <f t="shared" si="0"/>
        <v>0.015121643835616438</v>
      </c>
    </row>
    <row r="19" spans="1:5" ht="47.25">
      <c r="A19" s="68">
        <v>7</v>
      </c>
      <c r="B19" s="71" t="s">
        <v>218</v>
      </c>
      <c r="C19" s="68" t="s">
        <v>68</v>
      </c>
      <c r="D19" s="74">
        <f>D21</f>
        <v>5.5194</v>
      </c>
      <c r="E19" s="74">
        <f t="shared" si="0"/>
        <v>5.5194</v>
      </c>
    </row>
    <row r="20" spans="1:5" ht="15.75">
      <c r="A20" s="68" t="s">
        <v>43</v>
      </c>
      <c r="B20" s="72" t="s">
        <v>219</v>
      </c>
      <c r="C20" s="68" t="s">
        <v>68</v>
      </c>
      <c r="D20" s="74">
        <v>0</v>
      </c>
      <c r="E20" s="74">
        <f t="shared" si="0"/>
        <v>0</v>
      </c>
    </row>
    <row r="21" spans="1:5" ht="15.75">
      <c r="A21" s="68" t="s">
        <v>44</v>
      </c>
      <c r="B21" s="73" t="s">
        <v>220</v>
      </c>
      <c r="C21" s="68" t="s">
        <v>68</v>
      </c>
      <c r="D21" s="74">
        <f>D24</f>
        <v>5.5194</v>
      </c>
      <c r="E21" s="74">
        <f t="shared" si="0"/>
        <v>5.5194</v>
      </c>
    </row>
    <row r="22" spans="1:5" ht="31.5">
      <c r="A22" s="68">
        <v>8</v>
      </c>
      <c r="B22" s="67" t="s">
        <v>214</v>
      </c>
      <c r="C22" s="68" t="s">
        <v>68</v>
      </c>
      <c r="D22" s="74">
        <v>0</v>
      </c>
      <c r="E22" s="74">
        <f t="shared" si="0"/>
        <v>0</v>
      </c>
    </row>
    <row r="23" spans="1:5" ht="31.5">
      <c r="A23" s="68">
        <v>9</v>
      </c>
      <c r="B23" s="67" t="s">
        <v>221</v>
      </c>
      <c r="C23" s="68" t="s">
        <v>68</v>
      </c>
      <c r="D23" s="74">
        <v>0</v>
      </c>
      <c r="E23" s="74">
        <f t="shared" si="0"/>
        <v>0</v>
      </c>
    </row>
    <row r="24" spans="1:5" ht="31.5">
      <c r="A24" s="68">
        <v>10</v>
      </c>
      <c r="B24" s="71" t="s">
        <v>222</v>
      </c>
      <c r="C24" s="68" t="s">
        <v>68</v>
      </c>
      <c r="D24" s="74">
        <f>D26</f>
        <v>5.5194</v>
      </c>
      <c r="E24" s="74">
        <f t="shared" si="0"/>
        <v>5.5194</v>
      </c>
    </row>
    <row r="25" spans="1:5" ht="15.75">
      <c r="A25" s="68" t="s">
        <v>223</v>
      </c>
      <c r="B25" s="75" t="s">
        <v>224</v>
      </c>
      <c r="C25" s="68" t="s">
        <v>68</v>
      </c>
      <c r="D25" s="74">
        <v>0</v>
      </c>
      <c r="E25" s="74">
        <f t="shared" si="0"/>
        <v>0</v>
      </c>
    </row>
    <row r="26" spans="1:5" ht="15.75">
      <c r="A26" s="68" t="s">
        <v>225</v>
      </c>
      <c r="B26" s="75" t="s">
        <v>226</v>
      </c>
      <c r="C26" s="68" t="s">
        <v>68</v>
      </c>
      <c r="D26" s="74">
        <f>D29</f>
        <v>5.5194</v>
      </c>
      <c r="E26" s="74">
        <f t="shared" si="0"/>
        <v>5.5194</v>
      </c>
    </row>
    <row r="27" spans="1:5" ht="30">
      <c r="A27" s="68">
        <v>11</v>
      </c>
      <c r="B27" s="75" t="s">
        <v>227</v>
      </c>
      <c r="C27" s="68" t="s">
        <v>68</v>
      </c>
      <c r="D27" s="74">
        <v>0</v>
      </c>
      <c r="E27" s="74">
        <f t="shared" si="0"/>
        <v>0</v>
      </c>
    </row>
    <row r="28" spans="1:5" ht="31.5">
      <c r="A28" s="68">
        <v>12</v>
      </c>
      <c r="B28" s="71" t="s">
        <v>111</v>
      </c>
      <c r="C28" s="68" t="s">
        <v>68</v>
      </c>
      <c r="D28" s="74">
        <v>0</v>
      </c>
      <c r="E28" s="74">
        <f t="shared" si="0"/>
        <v>0</v>
      </c>
    </row>
    <row r="29" spans="1:5" ht="15.75">
      <c r="A29" s="68">
        <v>13</v>
      </c>
      <c r="B29" s="67" t="s">
        <v>228</v>
      </c>
      <c r="C29" s="68" t="s">
        <v>68</v>
      </c>
      <c r="D29" s="74">
        <f>D30+D33</f>
        <v>5.5194</v>
      </c>
      <c r="E29" s="74">
        <f t="shared" si="0"/>
        <v>5.5194</v>
      </c>
    </row>
    <row r="30" spans="1:5" ht="15.75">
      <c r="A30" s="68" t="s">
        <v>229</v>
      </c>
      <c r="B30" s="67" t="s">
        <v>112</v>
      </c>
      <c r="C30" s="68" t="s">
        <v>68</v>
      </c>
      <c r="D30" s="74">
        <f>6.7392/12*9</f>
        <v>5.0544</v>
      </c>
      <c r="E30" s="74">
        <f t="shared" si="0"/>
        <v>5.0544</v>
      </c>
    </row>
    <row r="31" spans="1:5" ht="31.5">
      <c r="A31" s="74" t="s">
        <v>230</v>
      </c>
      <c r="B31" s="67" t="s">
        <v>231</v>
      </c>
      <c r="C31" s="68" t="s">
        <v>68</v>
      </c>
      <c r="D31" s="74">
        <v>0</v>
      </c>
      <c r="E31" s="74">
        <f t="shared" si="0"/>
        <v>0</v>
      </c>
    </row>
    <row r="32" spans="1:5" ht="15" customHeight="1">
      <c r="A32" s="68" t="s">
        <v>232</v>
      </c>
      <c r="B32" s="67" t="s">
        <v>69</v>
      </c>
      <c r="C32" s="68" t="s">
        <v>68</v>
      </c>
      <c r="D32" s="74">
        <v>0</v>
      </c>
      <c r="E32" s="74">
        <f t="shared" si="0"/>
        <v>0</v>
      </c>
    </row>
    <row r="33" spans="1:5" ht="15.75" customHeight="1">
      <c r="A33" s="68" t="s">
        <v>233</v>
      </c>
      <c r="B33" s="67" t="s">
        <v>113</v>
      </c>
      <c r="C33" s="68" t="s">
        <v>68</v>
      </c>
      <c r="D33" s="74">
        <f>0.62/12*9</f>
        <v>0.46499999999999997</v>
      </c>
      <c r="E33" s="74">
        <f t="shared" si="0"/>
        <v>0.46499999999999997</v>
      </c>
    </row>
    <row r="34" spans="1:5" ht="31.5">
      <c r="A34" s="68" t="s">
        <v>234</v>
      </c>
      <c r="B34" s="67" t="s">
        <v>231</v>
      </c>
      <c r="C34" s="68" t="s">
        <v>68</v>
      </c>
      <c r="D34" s="74">
        <v>0</v>
      </c>
      <c r="E34" s="74">
        <f t="shared" si="0"/>
        <v>0</v>
      </c>
    </row>
    <row r="35" spans="1:5" ht="15.75">
      <c r="A35" s="68" t="s">
        <v>235</v>
      </c>
      <c r="B35" s="67" t="s">
        <v>114</v>
      </c>
      <c r="C35" s="68" t="s">
        <v>68</v>
      </c>
      <c r="D35" s="74">
        <v>0</v>
      </c>
      <c r="E35" s="74">
        <f t="shared" si="0"/>
        <v>0</v>
      </c>
    </row>
    <row r="36" spans="1:5" ht="31.5">
      <c r="A36" s="68" t="s">
        <v>236</v>
      </c>
      <c r="B36" s="67" t="s">
        <v>231</v>
      </c>
      <c r="C36" s="68" t="s">
        <v>68</v>
      </c>
      <c r="D36" s="74">
        <v>0</v>
      </c>
      <c r="E36" s="74">
        <f t="shared" si="0"/>
        <v>0</v>
      </c>
    </row>
    <row r="37" spans="1:5" ht="15.75">
      <c r="A37" s="68">
        <v>14</v>
      </c>
      <c r="B37" s="69" t="s">
        <v>70</v>
      </c>
      <c r="C37" s="70" t="s">
        <v>71</v>
      </c>
      <c r="D37" s="77">
        <f>E37</f>
        <v>3.77</v>
      </c>
      <c r="E37" s="74">
        <v>3.77</v>
      </c>
    </row>
    <row r="38" spans="1:5" ht="60">
      <c r="A38" s="68">
        <v>15</v>
      </c>
      <c r="B38" s="69" t="s">
        <v>237</v>
      </c>
      <c r="C38" s="70"/>
      <c r="D38" s="74"/>
      <c r="E38" s="74"/>
    </row>
    <row r="39" spans="1:5" ht="15.75">
      <c r="A39" s="68" t="s">
        <v>215</v>
      </c>
      <c r="B39" s="69" t="s">
        <v>238</v>
      </c>
      <c r="C39" s="70" t="s">
        <v>115</v>
      </c>
      <c r="D39" s="74">
        <f>D37/D29</f>
        <v>0.6830452585425952</v>
      </c>
      <c r="E39" s="74">
        <f>E37/E29</f>
        <v>0.6830452585425952</v>
      </c>
    </row>
    <row r="40" spans="1:5" ht="15.75" hidden="1">
      <c r="A40" s="68" t="s">
        <v>216</v>
      </c>
      <c r="B40" s="69" t="s">
        <v>63</v>
      </c>
      <c r="C40" s="70" t="s">
        <v>115</v>
      </c>
      <c r="D40" s="74"/>
      <c r="E40" s="74">
        <f t="shared" si="0"/>
        <v>0</v>
      </c>
    </row>
    <row r="41" spans="1:5" ht="15.75" hidden="1">
      <c r="A41" s="68" t="s">
        <v>217</v>
      </c>
      <c r="B41" s="69" t="s">
        <v>64</v>
      </c>
      <c r="C41" s="70" t="s">
        <v>115</v>
      </c>
      <c r="D41" s="74"/>
      <c r="E41" s="74">
        <f t="shared" si="0"/>
        <v>0</v>
      </c>
    </row>
    <row r="42" spans="1:5" ht="31.5">
      <c r="A42" s="68">
        <v>16</v>
      </c>
      <c r="B42" s="69" t="s">
        <v>239</v>
      </c>
      <c r="C42" s="69" t="s">
        <v>116</v>
      </c>
      <c r="D42" s="74">
        <v>0</v>
      </c>
      <c r="E42" s="74">
        <v>0</v>
      </c>
    </row>
    <row r="43" spans="1:5" ht="15.75" hidden="1">
      <c r="A43" s="68" t="s">
        <v>240</v>
      </c>
      <c r="B43" s="76" t="s">
        <v>241</v>
      </c>
      <c r="C43" s="69"/>
      <c r="D43" s="74"/>
      <c r="E43" s="74"/>
    </row>
    <row r="44" spans="1:5" ht="15.75" hidden="1">
      <c r="A44" s="68" t="s">
        <v>242</v>
      </c>
      <c r="B44" s="76"/>
      <c r="C44" s="69"/>
      <c r="D44" s="74"/>
      <c r="E44" s="74"/>
    </row>
    <row r="45" spans="1:5" ht="15.75">
      <c r="A45" s="12">
        <v>17</v>
      </c>
      <c r="B45" s="11" t="s">
        <v>91</v>
      </c>
      <c r="C45" s="12" t="s">
        <v>60</v>
      </c>
      <c r="D45" s="74"/>
      <c r="E45" s="74">
        <v>105.6</v>
      </c>
    </row>
    <row r="46" spans="1:5" ht="31.5">
      <c r="A46" s="68">
        <v>18</v>
      </c>
      <c r="B46" s="67" t="s">
        <v>243</v>
      </c>
      <c r="C46" s="67"/>
      <c r="D46" s="74"/>
      <c r="E46" s="74"/>
    </row>
    <row r="47" spans="1:5" ht="15.75">
      <c r="A47" s="68" t="s">
        <v>244</v>
      </c>
      <c r="B47" s="67" t="s">
        <v>117</v>
      </c>
      <c r="C47" s="68" t="s">
        <v>60</v>
      </c>
      <c r="D47" s="74"/>
      <c r="E47" s="74">
        <v>107.3</v>
      </c>
    </row>
    <row r="48" spans="1:5" ht="15.75" hidden="1">
      <c r="A48" s="68" t="s">
        <v>245</v>
      </c>
      <c r="B48" s="67" t="s">
        <v>118</v>
      </c>
      <c r="C48" s="68" t="s">
        <v>60</v>
      </c>
      <c r="D48" s="74"/>
      <c r="E48" s="74">
        <v>107.3</v>
      </c>
    </row>
    <row r="49" spans="1:5" ht="15.75" hidden="1">
      <c r="A49" s="68" t="s">
        <v>246</v>
      </c>
      <c r="B49" s="67" t="s">
        <v>119</v>
      </c>
      <c r="C49" s="68" t="s">
        <v>60</v>
      </c>
      <c r="D49" s="74"/>
      <c r="E49" s="74">
        <v>105.4</v>
      </c>
    </row>
    <row r="50" spans="1:5" ht="15.75">
      <c r="A50" s="68" t="s">
        <v>245</v>
      </c>
      <c r="B50" s="67" t="s">
        <v>120</v>
      </c>
      <c r="C50" s="68" t="s">
        <v>60</v>
      </c>
      <c r="D50" s="74"/>
      <c r="E50" s="74">
        <v>103</v>
      </c>
    </row>
    <row r="51" spans="1:5" ht="15.75" hidden="1">
      <c r="A51" s="67" t="s">
        <v>247</v>
      </c>
      <c r="B51" s="67" t="s">
        <v>121</v>
      </c>
      <c r="C51" s="68" t="s">
        <v>60</v>
      </c>
      <c r="D51" s="67"/>
      <c r="E51" s="68">
        <v>99.8</v>
      </c>
    </row>
  </sheetData>
  <sheetProtection/>
  <mergeCells count="12">
    <mergeCell ref="A9:A11"/>
    <mergeCell ref="B9:B11"/>
    <mergeCell ref="C9:C11"/>
    <mergeCell ref="D9:E9"/>
    <mergeCell ref="D10:D11"/>
    <mergeCell ref="E10:E11"/>
    <mergeCell ref="A1:E1"/>
    <mergeCell ref="A2:E2"/>
    <mergeCell ref="A3:E3"/>
    <mergeCell ref="A5:E5"/>
    <mergeCell ref="A6:E6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view="pageLayout" workbookViewId="0" topLeftCell="A1">
      <selection activeCell="D74" sqref="D74"/>
    </sheetView>
  </sheetViews>
  <sheetFormatPr defaultColWidth="9.140625" defaultRowHeight="15"/>
  <cols>
    <col min="1" max="1" width="10.421875" style="13" customWidth="1"/>
    <col min="2" max="2" width="37.00390625" style="13" customWidth="1"/>
    <col min="3" max="3" width="14.421875" style="14" customWidth="1"/>
    <col min="4" max="4" width="12.00390625" style="14" customWidth="1"/>
    <col min="5" max="5" width="13.1406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spans="1:5" ht="18.75">
      <c r="A1" s="80" t="s">
        <v>355</v>
      </c>
      <c r="B1" s="80"/>
      <c r="C1" s="80"/>
      <c r="D1" s="80"/>
      <c r="E1" s="80"/>
    </row>
    <row r="2" spans="1:5" ht="18.75">
      <c r="A2" s="80" t="s">
        <v>212</v>
      </c>
      <c r="B2" s="80"/>
      <c r="C2" s="80"/>
      <c r="D2" s="80"/>
      <c r="E2" s="80"/>
    </row>
    <row r="3" spans="1:5" ht="18.75">
      <c r="A3" s="80" t="str">
        <f>'прил 1 вода'!A3:E3</f>
        <v>                                                                                          по делу № 2-14в</v>
      </c>
      <c r="B3" s="80"/>
      <c r="C3" s="80"/>
      <c r="D3" s="80"/>
      <c r="E3" s="80"/>
    </row>
    <row r="4" spans="1:4" ht="18.75">
      <c r="A4" s="15"/>
      <c r="B4" s="15"/>
      <c r="C4" s="16"/>
      <c r="D4" s="16"/>
    </row>
    <row r="5" spans="1:7" ht="18.75" customHeight="1">
      <c r="A5" s="90" t="s">
        <v>208</v>
      </c>
      <c r="B5" s="90"/>
      <c r="C5" s="90"/>
      <c r="D5" s="90"/>
      <c r="E5" s="90"/>
      <c r="G5" s="5"/>
    </row>
    <row r="6" spans="1:7" ht="18.75" customHeight="1">
      <c r="A6" s="90" t="str">
        <f>'прил 1 вода'!A6:E6</f>
        <v>Общества с ограниченной ответственностью «Ангарская ТГК»</v>
      </c>
      <c r="B6" s="90"/>
      <c r="C6" s="90"/>
      <c r="D6" s="90"/>
      <c r="E6" s="90"/>
      <c r="G6" s="5"/>
    </row>
    <row r="7" spans="1:5" ht="17.25" customHeight="1">
      <c r="A7" s="91" t="str">
        <f>'прил 1 вода'!A7:E7</f>
        <v>(Мотыгинский район, п. Мотыгино, ИНН 2426004880)</v>
      </c>
      <c r="B7" s="91"/>
      <c r="C7" s="91"/>
      <c r="D7" s="91"/>
      <c r="E7" s="91"/>
    </row>
    <row r="8" ht="16.5" customHeight="1">
      <c r="E8" s="17" t="s">
        <v>122</v>
      </c>
    </row>
    <row r="9" spans="1:5" ht="17.25" customHeight="1">
      <c r="A9" s="89" t="s">
        <v>0</v>
      </c>
      <c r="B9" s="89" t="s">
        <v>1</v>
      </c>
      <c r="C9" s="89" t="s">
        <v>99</v>
      </c>
      <c r="D9" s="89"/>
      <c r="E9" s="89"/>
    </row>
    <row r="10" spans="1:5" ht="67.5" customHeight="1">
      <c r="A10" s="89"/>
      <c r="B10" s="89"/>
      <c r="C10" s="19" t="s">
        <v>66</v>
      </c>
      <c r="D10" s="19" t="s">
        <v>67</v>
      </c>
      <c r="E10" s="18" t="s">
        <v>72</v>
      </c>
    </row>
    <row r="11" spans="1:5" ht="15.75">
      <c r="A11" s="18">
        <v>1</v>
      </c>
      <c r="B11" s="18">
        <v>2</v>
      </c>
      <c r="C11" s="20">
        <v>3</v>
      </c>
      <c r="D11" s="20">
        <v>4</v>
      </c>
      <c r="E11" s="20">
        <v>5</v>
      </c>
    </row>
    <row r="12" spans="1:5" ht="15.75">
      <c r="A12" s="21">
        <v>1</v>
      </c>
      <c r="B12" s="22" t="s">
        <v>2</v>
      </c>
      <c r="C12" s="169">
        <f>'Прил 6 вода '!D13</f>
        <v>2159.884494</v>
      </c>
      <c r="D12" s="169">
        <f>'Прил 6 вода '!E13</f>
        <v>1800.8769704532747</v>
      </c>
      <c r="E12" s="169">
        <f>C12-D12</f>
        <v>359.0075235467252</v>
      </c>
    </row>
    <row r="13" spans="1:5" ht="31.5" hidden="1">
      <c r="A13" s="1" t="s">
        <v>3</v>
      </c>
      <c r="B13" s="2" t="s">
        <v>123</v>
      </c>
      <c r="C13" s="23"/>
      <c r="D13" s="23"/>
      <c r="E13" s="169">
        <f aca="true" t="shared" si="0" ref="E13:E76">C13-D13</f>
        <v>0</v>
      </c>
    </row>
    <row r="14" spans="1:5" ht="31.5" hidden="1">
      <c r="A14" s="1" t="s">
        <v>124</v>
      </c>
      <c r="B14" s="2" t="str">
        <f>'[2]реагенты'!G13</f>
        <v>Препарат овицидный "Пуролат-Бингси", тыс. руб./кг.</v>
      </c>
      <c r="C14" s="23"/>
      <c r="D14" s="23"/>
      <c r="E14" s="169">
        <f t="shared" si="0"/>
        <v>0</v>
      </c>
    </row>
    <row r="15" spans="1:5" ht="31.5" hidden="1">
      <c r="A15" s="1" t="s">
        <v>125</v>
      </c>
      <c r="B15" s="2" t="s">
        <v>126</v>
      </c>
      <c r="C15" s="23"/>
      <c r="D15" s="23"/>
      <c r="E15" s="169">
        <f t="shared" si="0"/>
        <v>0</v>
      </c>
    </row>
    <row r="16" spans="1:5" ht="15.75" hidden="1">
      <c r="A16" s="1" t="s">
        <v>127</v>
      </c>
      <c r="B16" s="2" t="str">
        <f>'[2]реагенты'!G14</f>
        <v>Сульфат алюминия, тыс. руб./кг.</v>
      </c>
      <c r="C16" s="23"/>
      <c r="D16" s="23"/>
      <c r="E16" s="169">
        <f t="shared" si="0"/>
        <v>0</v>
      </c>
    </row>
    <row r="17" spans="1:5" ht="15.75" hidden="1">
      <c r="A17" s="1" t="s">
        <v>128</v>
      </c>
      <c r="B17" s="2" t="s">
        <v>129</v>
      </c>
      <c r="C17" s="23"/>
      <c r="D17" s="23"/>
      <c r="E17" s="169">
        <f t="shared" si="0"/>
        <v>0</v>
      </c>
    </row>
    <row r="18" spans="1:5" ht="31.5" hidden="1">
      <c r="A18" s="1" t="s">
        <v>130</v>
      </c>
      <c r="B18" s="2" t="str">
        <f>'[2]реагенты'!G15</f>
        <v>Сода кальцинированная, тыс. руб./кг.</v>
      </c>
      <c r="C18" s="23"/>
      <c r="D18" s="23"/>
      <c r="E18" s="169">
        <f t="shared" si="0"/>
        <v>0</v>
      </c>
    </row>
    <row r="19" spans="1:5" ht="15.75" hidden="1">
      <c r="A19" s="1" t="s">
        <v>131</v>
      </c>
      <c r="B19" s="2" t="s">
        <v>132</v>
      </c>
      <c r="C19" s="23"/>
      <c r="D19" s="23"/>
      <c r="E19" s="169">
        <f t="shared" si="0"/>
        <v>0</v>
      </c>
    </row>
    <row r="20" spans="1:5" ht="15.75" hidden="1">
      <c r="A20" s="1" t="s">
        <v>133</v>
      </c>
      <c r="B20" s="2" t="str">
        <f>'[2]реагенты'!G16</f>
        <v>Полиакриламид, тыс. руб./кг.</v>
      </c>
      <c r="C20" s="23"/>
      <c r="D20" s="23"/>
      <c r="E20" s="169">
        <f t="shared" si="0"/>
        <v>0</v>
      </c>
    </row>
    <row r="21" spans="1:5" ht="15.75" hidden="1">
      <c r="A21" s="1" t="s">
        <v>134</v>
      </c>
      <c r="B21" s="2" t="s">
        <v>135</v>
      </c>
      <c r="C21" s="23"/>
      <c r="D21" s="23"/>
      <c r="E21" s="169">
        <f t="shared" si="0"/>
        <v>0</v>
      </c>
    </row>
    <row r="22" spans="1:5" ht="15.75" hidden="1">
      <c r="A22" s="1" t="s">
        <v>136</v>
      </c>
      <c r="B22" s="2" t="str">
        <f>'[2]реагенты'!G17</f>
        <v>Гипохлорид натрия, тыс. руб./кг.</v>
      </c>
      <c r="C22" s="23"/>
      <c r="D22" s="23"/>
      <c r="E22" s="169">
        <f t="shared" si="0"/>
        <v>0</v>
      </c>
    </row>
    <row r="23" spans="1:5" ht="15.75" hidden="1">
      <c r="A23" s="1" t="s">
        <v>137</v>
      </c>
      <c r="B23" s="2" t="s">
        <v>138</v>
      </c>
      <c r="C23" s="23"/>
      <c r="D23" s="23"/>
      <c r="E23" s="169">
        <f t="shared" si="0"/>
        <v>0</v>
      </c>
    </row>
    <row r="24" spans="1:5" ht="31.5" hidden="1">
      <c r="A24" s="1" t="s">
        <v>139</v>
      </c>
      <c r="B24" s="2" t="s">
        <v>140</v>
      </c>
      <c r="C24" s="23"/>
      <c r="D24" s="23"/>
      <c r="E24" s="169">
        <f t="shared" si="0"/>
        <v>0</v>
      </c>
    </row>
    <row r="25" spans="1:5" ht="15.75" hidden="1">
      <c r="A25" s="1" t="s">
        <v>141</v>
      </c>
      <c r="B25" s="2" t="s">
        <v>142</v>
      </c>
      <c r="C25" s="23"/>
      <c r="D25" s="23"/>
      <c r="E25" s="169">
        <f t="shared" si="0"/>
        <v>0</v>
      </c>
    </row>
    <row r="26" spans="1:5" ht="31.5" hidden="1">
      <c r="A26" s="1" t="s">
        <v>4</v>
      </c>
      <c r="B26" s="2" t="s">
        <v>143</v>
      </c>
      <c r="C26" s="23"/>
      <c r="D26" s="23"/>
      <c r="E26" s="169">
        <f t="shared" si="0"/>
        <v>0</v>
      </c>
    </row>
    <row r="27" spans="1:5" ht="15.75" hidden="1">
      <c r="A27" s="1" t="s">
        <v>5</v>
      </c>
      <c r="B27" s="2" t="s">
        <v>144</v>
      </c>
      <c r="C27" s="23"/>
      <c r="D27" s="23"/>
      <c r="E27" s="169">
        <f t="shared" si="0"/>
        <v>0</v>
      </c>
    </row>
    <row r="28" spans="1:5" ht="15.75" hidden="1">
      <c r="A28" s="1" t="s">
        <v>6</v>
      </c>
      <c r="B28" s="2" t="s">
        <v>145</v>
      </c>
      <c r="C28" s="24"/>
      <c r="D28" s="24"/>
      <c r="E28" s="169">
        <f t="shared" si="0"/>
        <v>0</v>
      </c>
    </row>
    <row r="29" spans="1:5" ht="15.75" hidden="1">
      <c r="A29" s="1" t="s">
        <v>7</v>
      </c>
      <c r="B29" s="25" t="s">
        <v>146</v>
      </c>
      <c r="C29" s="26"/>
      <c r="D29" s="26"/>
      <c r="E29" s="169">
        <f t="shared" si="0"/>
        <v>0</v>
      </c>
    </row>
    <row r="30" spans="1:5" ht="15.75" hidden="1">
      <c r="A30" s="1" t="s">
        <v>8</v>
      </c>
      <c r="B30" s="25" t="s">
        <v>147</v>
      </c>
      <c r="C30" s="26"/>
      <c r="D30" s="26"/>
      <c r="E30" s="169">
        <f t="shared" si="0"/>
        <v>0</v>
      </c>
    </row>
    <row r="31" spans="1:5" ht="31.5" hidden="1">
      <c r="A31" s="1" t="s">
        <v>148</v>
      </c>
      <c r="B31" s="2" t="s">
        <v>149</v>
      </c>
      <c r="C31" s="27"/>
      <c r="D31" s="27"/>
      <c r="E31" s="169">
        <f t="shared" si="0"/>
        <v>0</v>
      </c>
    </row>
    <row r="32" spans="1:5" ht="47.25" hidden="1">
      <c r="A32" s="1" t="s">
        <v>150</v>
      </c>
      <c r="B32" s="25" t="s">
        <v>151</v>
      </c>
      <c r="C32" s="27"/>
      <c r="D32" s="27"/>
      <c r="E32" s="169">
        <f t="shared" si="0"/>
        <v>0</v>
      </c>
    </row>
    <row r="33" spans="1:5" ht="31.5" hidden="1">
      <c r="A33" s="1" t="s">
        <v>152</v>
      </c>
      <c r="B33" s="2" t="s">
        <v>149</v>
      </c>
      <c r="C33" s="27"/>
      <c r="D33" s="27"/>
      <c r="E33" s="169">
        <f t="shared" si="0"/>
        <v>0</v>
      </c>
    </row>
    <row r="34" spans="1:5" ht="47.25" hidden="1">
      <c r="A34" s="1" t="s">
        <v>153</v>
      </c>
      <c r="B34" s="25" t="s">
        <v>154</v>
      </c>
      <c r="C34" s="27"/>
      <c r="D34" s="27"/>
      <c r="E34" s="169">
        <f t="shared" si="0"/>
        <v>0</v>
      </c>
    </row>
    <row r="35" spans="1:5" ht="15.75" hidden="1">
      <c r="A35" s="1" t="s">
        <v>9</v>
      </c>
      <c r="B35" s="25" t="s">
        <v>155</v>
      </c>
      <c r="C35" s="23"/>
      <c r="D35" s="23"/>
      <c r="E35" s="169">
        <f t="shared" si="0"/>
        <v>0</v>
      </c>
    </row>
    <row r="36" spans="1:5" ht="47.25" hidden="1">
      <c r="A36" s="1" t="s">
        <v>12</v>
      </c>
      <c r="B36" s="2" t="s">
        <v>156</v>
      </c>
      <c r="C36" s="23"/>
      <c r="D36" s="23"/>
      <c r="E36" s="169">
        <f t="shared" si="0"/>
        <v>0</v>
      </c>
    </row>
    <row r="37" spans="1:5" ht="31.5" hidden="1">
      <c r="A37" s="1" t="s">
        <v>13</v>
      </c>
      <c r="B37" s="2" t="s">
        <v>157</v>
      </c>
      <c r="C37" s="23"/>
      <c r="D37" s="23"/>
      <c r="E37" s="169">
        <f t="shared" si="0"/>
        <v>0</v>
      </c>
    </row>
    <row r="38" spans="1:5" ht="15.75" hidden="1">
      <c r="A38" s="28" t="s">
        <v>73</v>
      </c>
      <c r="B38" s="29" t="s">
        <v>74</v>
      </c>
      <c r="C38" s="30"/>
      <c r="D38" s="30"/>
      <c r="E38" s="169">
        <f t="shared" si="0"/>
        <v>0</v>
      </c>
    </row>
    <row r="39" spans="1:5" ht="31.5" hidden="1">
      <c r="A39" s="28" t="s">
        <v>75</v>
      </c>
      <c r="B39" s="29" t="s">
        <v>158</v>
      </c>
      <c r="C39" s="31"/>
      <c r="D39" s="31"/>
      <c r="E39" s="169">
        <f t="shared" si="0"/>
        <v>0</v>
      </c>
    </row>
    <row r="40" spans="1:5" ht="31.5" hidden="1">
      <c r="A40" s="28" t="s">
        <v>76</v>
      </c>
      <c r="B40" s="29" t="s">
        <v>159</v>
      </c>
      <c r="C40" s="31"/>
      <c r="D40" s="31"/>
      <c r="E40" s="169">
        <f t="shared" si="0"/>
        <v>0</v>
      </c>
    </row>
    <row r="41" spans="1:5" ht="15.75" hidden="1">
      <c r="A41" s="32" t="s">
        <v>77</v>
      </c>
      <c r="B41" s="29" t="s">
        <v>15</v>
      </c>
      <c r="C41" s="33"/>
      <c r="D41" s="33"/>
      <c r="E41" s="169">
        <f t="shared" si="0"/>
        <v>0</v>
      </c>
    </row>
    <row r="42" spans="1:5" ht="31.5" hidden="1">
      <c r="A42" s="32" t="s">
        <v>160</v>
      </c>
      <c r="B42" s="29" t="s">
        <v>161</v>
      </c>
      <c r="C42" s="31"/>
      <c r="D42" s="31"/>
      <c r="E42" s="169">
        <f t="shared" si="0"/>
        <v>0</v>
      </c>
    </row>
    <row r="43" spans="1:5" ht="47.25" hidden="1">
      <c r="A43" s="1" t="s">
        <v>16</v>
      </c>
      <c r="B43" s="2" t="s">
        <v>162</v>
      </c>
      <c r="C43" s="23"/>
      <c r="D43" s="23"/>
      <c r="E43" s="169">
        <f t="shared" si="0"/>
        <v>0</v>
      </c>
    </row>
    <row r="44" spans="1:5" ht="15.75" hidden="1">
      <c r="A44" s="1" t="s">
        <v>78</v>
      </c>
      <c r="B44" s="2" t="s">
        <v>163</v>
      </c>
      <c r="C44" s="34"/>
      <c r="D44" s="34"/>
      <c r="E44" s="169">
        <f t="shared" si="0"/>
        <v>0</v>
      </c>
    </row>
    <row r="45" spans="1:5" ht="31.5" hidden="1">
      <c r="A45" s="1" t="s">
        <v>18</v>
      </c>
      <c r="B45" s="2" t="s">
        <v>164</v>
      </c>
      <c r="C45" s="35"/>
      <c r="D45" s="35"/>
      <c r="E45" s="169">
        <f t="shared" si="0"/>
        <v>0</v>
      </c>
    </row>
    <row r="46" spans="1:5" ht="15.75" hidden="1">
      <c r="A46" s="1" t="s">
        <v>22</v>
      </c>
      <c r="B46" s="2" t="s">
        <v>165</v>
      </c>
      <c r="C46" s="35"/>
      <c r="D46" s="35"/>
      <c r="E46" s="169">
        <f t="shared" si="0"/>
        <v>0</v>
      </c>
    </row>
    <row r="47" spans="1:5" ht="15.75">
      <c r="A47" s="36">
        <v>2</v>
      </c>
      <c r="B47" s="37" t="s">
        <v>23</v>
      </c>
      <c r="C47" s="38">
        <f>'Прил 6 вода '!D63</f>
        <v>1235.93226</v>
      </c>
      <c r="D47" s="38">
        <f>'Прил 6 вода '!E63</f>
        <v>299.00349960488484</v>
      </c>
      <c r="E47" s="169">
        <f t="shared" si="0"/>
        <v>936.9287603951152</v>
      </c>
    </row>
    <row r="48" spans="1:5" ht="15.75" hidden="1">
      <c r="A48" s="39" t="s">
        <v>24</v>
      </c>
      <c r="B48" s="25" t="s">
        <v>166</v>
      </c>
      <c r="C48" s="23"/>
      <c r="D48" s="23"/>
      <c r="E48" s="169">
        <f t="shared" si="0"/>
        <v>0</v>
      </c>
    </row>
    <row r="49" spans="1:5" ht="31.5" hidden="1">
      <c r="A49" s="1" t="s">
        <v>27</v>
      </c>
      <c r="B49" s="2" t="s">
        <v>167</v>
      </c>
      <c r="C49" s="23"/>
      <c r="D49" s="23"/>
      <c r="E49" s="169">
        <f t="shared" si="0"/>
        <v>0</v>
      </c>
    </row>
    <row r="50" spans="1:5" ht="15.75" hidden="1">
      <c r="A50" s="40" t="s">
        <v>28</v>
      </c>
      <c r="B50" s="29" t="s">
        <v>74</v>
      </c>
      <c r="C50" s="33"/>
      <c r="D50" s="33"/>
      <c r="E50" s="169">
        <f t="shared" si="0"/>
        <v>0</v>
      </c>
    </row>
    <row r="51" spans="1:5" ht="15.75" hidden="1">
      <c r="A51" s="40" t="s">
        <v>168</v>
      </c>
      <c r="B51" s="29" t="s">
        <v>15</v>
      </c>
      <c r="C51" s="33"/>
      <c r="D51" s="33"/>
      <c r="E51" s="169">
        <f t="shared" si="0"/>
        <v>0</v>
      </c>
    </row>
    <row r="52" spans="1:5" ht="31.5" hidden="1">
      <c r="A52" s="40" t="s">
        <v>169</v>
      </c>
      <c r="B52" s="29" t="s">
        <v>161</v>
      </c>
      <c r="C52" s="31"/>
      <c r="D52" s="31"/>
      <c r="E52" s="169">
        <f t="shared" si="0"/>
        <v>0</v>
      </c>
    </row>
    <row r="53" spans="1:5" ht="31.5" hidden="1">
      <c r="A53" s="39" t="s">
        <v>29</v>
      </c>
      <c r="B53" s="2" t="s">
        <v>170</v>
      </c>
      <c r="C53" s="23"/>
      <c r="D53" s="23"/>
      <c r="E53" s="169">
        <f t="shared" si="0"/>
        <v>0</v>
      </c>
    </row>
    <row r="54" spans="1:5" ht="15.75" hidden="1">
      <c r="A54" s="39" t="s">
        <v>30</v>
      </c>
      <c r="B54" s="25" t="s">
        <v>171</v>
      </c>
      <c r="C54" s="23"/>
      <c r="D54" s="23"/>
      <c r="E54" s="169">
        <f t="shared" si="0"/>
        <v>0</v>
      </c>
    </row>
    <row r="55" spans="1:5" ht="15.75" hidden="1">
      <c r="A55" s="39" t="s">
        <v>32</v>
      </c>
      <c r="B55" s="25" t="s">
        <v>165</v>
      </c>
      <c r="C55" s="23"/>
      <c r="D55" s="23"/>
      <c r="E55" s="169">
        <f t="shared" si="0"/>
        <v>0</v>
      </c>
    </row>
    <row r="56" spans="1:5" ht="15.75">
      <c r="A56" s="36">
        <v>3</v>
      </c>
      <c r="B56" s="37" t="s">
        <v>172</v>
      </c>
      <c r="C56" s="38">
        <f>'Прил 6 вода '!D76</f>
        <v>465.48837000000003</v>
      </c>
      <c r="D56" s="38">
        <f>'Прил 6 вода '!E76</f>
        <v>140.21170022505362</v>
      </c>
      <c r="E56" s="169">
        <f t="shared" si="0"/>
        <v>325.2766697749464</v>
      </c>
    </row>
    <row r="57" spans="1:5" ht="15.75" hidden="1">
      <c r="A57" s="39" t="s">
        <v>33</v>
      </c>
      <c r="B57" s="25" t="s">
        <v>173</v>
      </c>
      <c r="C57" s="23"/>
      <c r="D57" s="23"/>
      <c r="E57" s="169">
        <f t="shared" si="0"/>
        <v>0</v>
      </c>
    </row>
    <row r="58" spans="1:5" ht="31.5" hidden="1">
      <c r="A58" s="39" t="s">
        <v>174</v>
      </c>
      <c r="B58" s="25" t="s">
        <v>175</v>
      </c>
      <c r="C58" s="23"/>
      <c r="D58" s="23"/>
      <c r="E58" s="169">
        <f t="shared" si="0"/>
        <v>0</v>
      </c>
    </row>
    <row r="59" spans="1:5" ht="15.75" hidden="1">
      <c r="A59" s="40" t="s">
        <v>176</v>
      </c>
      <c r="B59" s="29" t="s">
        <v>74</v>
      </c>
      <c r="C59" s="33"/>
      <c r="D59" s="33"/>
      <c r="E59" s="169">
        <f t="shared" si="0"/>
        <v>0</v>
      </c>
    </row>
    <row r="60" spans="1:5" ht="15.75" hidden="1">
      <c r="A60" s="40" t="s">
        <v>177</v>
      </c>
      <c r="B60" s="29" t="s">
        <v>15</v>
      </c>
      <c r="C60" s="33"/>
      <c r="D60" s="33"/>
      <c r="E60" s="169">
        <f t="shared" si="0"/>
        <v>0</v>
      </c>
    </row>
    <row r="61" spans="1:5" ht="31.5" hidden="1">
      <c r="A61" s="40" t="s">
        <v>178</v>
      </c>
      <c r="B61" s="29" t="s">
        <v>161</v>
      </c>
      <c r="C61" s="31"/>
      <c r="D61" s="31"/>
      <c r="E61" s="169">
        <f t="shared" si="0"/>
        <v>0</v>
      </c>
    </row>
    <row r="62" spans="1:5" ht="31.5" hidden="1">
      <c r="A62" s="39" t="s">
        <v>179</v>
      </c>
      <c r="B62" s="2" t="s">
        <v>180</v>
      </c>
      <c r="C62" s="23"/>
      <c r="D62" s="23"/>
      <c r="E62" s="169">
        <f t="shared" si="0"/>
        <v>0</v>
      </c>
    </row>
    <row r="63" spans="1:5" ht="15.75" hidden="1">
      <c r="A63" s="39" t="s">
        <v>181</v>
      </c>
      <c r="B63" s="25" t="s">
        <v>165</v>
      </c>
      <c r="C63" s="23"/>
      <c r="D63" s="23"/>
      <c r="E63" s="169">
        <f t="shared" si="0"/>
        <v>0</v>
      </c>
    </row>
    <row r="64" spans="1:5" ht="15.75" hidden="1">
      <c r="A64" s="39" t="s">
        <v>34</v>
      </c>
      <c r="B64" s="25" t="s">
        <v>182</v>
      </c>
      <c r="C64" s="23"/>
      <c r="D64" s="23"/>
      <c r="E64" s="169">
        <f t="shared" si="0"/>
        <v>0</v>
      </c>
    </row>
    <row r="65" spans="1:5" ht="47.25" hidden="1">
      <c r="A65" s="39" t="s">
        <v>81</v>
      </c>
      <c r="B65" s="25" t="s">
        <v>183</v>
      </c>
      <c r="C65" s="23"/>
      <c r="D65" s="23"/>
      <c r="E65" s="169">
        <f t="shared" si="0"/>
        <v>0</v>
      </c>
    </row>
    <row r="66" spans="1:5" ht="31.5" hidden="1">
      <c r="A66" s="40" t="s">
        <v>184</v>
      </c>
      <c r="B66" s="29" t="s">
        <v>185</v>
      </c>
      <c r="C66" s="30"/>
      <c r="D66" s="30"/>
      <c r="E66" s="169">
        <f t="shared" si="0"/>
        <v>0</v>
      </c>
    </row>
    <row r="67" spans="1:5" ht="31.5" hidden="1">
      <c r="A67" s="40" t="s">
        <v>186</v>
      </c>
      <c r="B67" s="29" t="s">
        <v>161</v>
      </c>
      <c r="C67" s="31"/>
      <c r="D67" s="31"/>
      <c r="E67" s="169">
        <f t="shared" si="0"/>
        <v>0</v>
      </c>
    </row>
    <row r="68" spans="1:5" ht="47.25" hidden="1">
      <c r="A68" s="39" t="s">
        <v>187</v>
      </c>
      <c r="B68" s="2" t="s">
        <v>188</v>
      </c>
      <c r="C68" s="23"/>
      <c r="D68" s="23"/>
      <c r="E68" s="169">
        <f t="shared" si="0"/>
        <v>0</v>
      </c>
    </row>
    <row r="69" spans="1:5" ht="31.5" hidden="1">
      <c r="A69" s="39" t="s">
        <v>189</v>
      </c>
      <c r="B69" s="25" t="s">
        <v>190</v>
      </c>
      <c r="C69" s="23"/>
      <c r="D69" s="23"/>
      <c r="E69" s="169">
        <f t="shared" si="0"/>
        <v>0</v>
      </c>
    </row>
    <row r="70" spans="1:5" ht="31.5" hidden="1">
      <c r="A70" s="40" t="s">
        <v>191</v>
      </c>
      <c r="B70" s="29" t="s">
        <v>185</v>
      </c>
      <c r="C70" s="41"/>
      <c r="D70" s="41"/>
      <c r="E70" s="169">
        <f t="shared" si="0"/>
        <v>0</v>
      </c>
    </row>
    <row r="71" spans="1:5" ht="31.5" hidden="1">
      <c r="A71" s="40" t="s">
        <v>192</v>
      </c>
      <c r="B71" s="29" t="s">
        <v>161</v>
      </c>
      <c r="C71" s="31"/>
      <c r="D71" s="31"/>
      <c r="E71" s="169">
        <f t="shared" si="0"/>
        <v>0</v>
      </c>
    </row>
    <row r="72" spans="1:5" ht="31.5" hidden="1">
      <c r="A72" s="39" t="s">
        <v>193</v>
      </c>
      <c r="B72" s="2" t="s">
        <v>194</v>
      </c>
      <c r="C72" s="23"/>
      <c r="D72" s="23"/>
      <c r="E72" s="169">
        <f t="shared" si="0"/>
        <v>0</v>
      </c>
    </row>
    <row r="73" spans="1:5" ht="15.75" hidden="1">
      <c r="A73" s="39" t="s">
        <v>195</v>
      </c>
      <c r="B73" s="25" t="s">
        <v>165</v>
      </c>
      <c r="C73" s="23"/>
      <c r="D73" s="23"/>
      <c r="E73" s="169">
        <f t="shared" si="0"/>
        <v>0</v>
      </c>
    </row>
    <row r="74" spans="1:5" ht="31.5">
      <c r="A74" s="36">
        <v>4</v>
      </c>
      <c r="B74" s="22" t="s">
        <v>36</v>
      </c>
      <c r="C74" s="38">
        <f>'Прил 6 вода '!D82</f>
        <v>211.59824999999998</v>
      </c>
      <c r="D74" s="38">
        <v>0</v>
      </c>
      <c r="E74" s="169">
        <f t="shared" si="0"/>
        <v>211.59824999999998</v>
      </c>
    </row>
    <row r="75" spans="1:5" ht="31.5">
      <c r="A75" s="36">
        <v>5</v>
      </c>
      <c r="B75" s="22" t="s">
        <v>37</v>
      </c>
      <c r="C75" s="38">
        <v>0</v>
      </c>
      <c r="D75" s="38">
        <v>0</v>
      </c>
      <c r="E75" s="169">
        <f t="shared" si="0"/>
        <v>0</v>
      </c>
    </row>
    <row r="76" spans="1:5" ht="47.25">
      <c r="A76" s="36">
        <v>6</v>
      </c>
      <c r="B76" s="22" t="s">
        <v>196</v>
      </c>
      <c r="C76" s="38">
        <f>'Прил 6 вода '!D84</f>
        <v>132.25799999999998</v>
      </c>
      <c r="D76" s="38">
        <f>'Прил 6 вода '!E84</f>
        <v>132.2584275</v>
      </c>
      <c r="E76" s="169">
        <f t="shared" si="0"/>
        <v>-0.0004275000000291129</v>
      </c>
    </row>
    <row r="77" spans="1:5" ht="31.5">
      <c r="A77" s="36">
        <v>7</v>
      </c>
      <c r="B77" s="22" t="s">
        <v>197</v>
      </c>
      <c r="C77" s="38">
        <v>0</v>
      </c>
      <c r="D77" s="38">
        <v>0</v>
      </c>
      <c r="E77" s="169">
        <f>C77-D77</f>
        <v>0</v>
      </c>
    </row>
    <row r="78" spans="1:5" ht="15.75">
      <c r="A78" s="42">
        <v>8</v>
      </c>
      <c r="B78" s="22" t="s">
        <v>198</v>
      </c>
      <c r="C78" s="38">
        <f>SUM(C12:C77)</f>
        <v>4205.161374</v>
      </c>
      <c r="D78" s="38">
        <f>SUM(D12:D77)</f>
        <v>2372.350597783213</v>
      </c>
      <c r="E78" s="38">
        <f>SUM(E12:E77)</f>
        <v>1832.8107762167867</v>
      </c>
    </row>
  </sheetData>
  <sheetProtection/>
  <mergeCells count="9">
    <mergeCell ref="A9:A10"/>
    <mergeCell ref="B9:B10"/>
    <mergeCell ref="C9:E9"/>
    <mergeCell ref="A1:E1"/>
    <mergeCell ref="A3:E3"/>
    <mergeCell ref="A2:E2"/>
    <mergeCell ref="A5:E5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C19" sqref="C19"/>
    </sheetView>
  </sheetViews>
  <sheetFormatPr defaultColWidth="9.140625" defaultRowHeight="15"/>
  <cols>
    <col min="1" max="1" width="6.57421875" style="43" customWidth="1"/>
    <col min="2" max="2" width="38.421875" style="43" customWidth="1"/>
    <col min="3" max="3" width="13.140625" style="43" customWidth="1"/>
    <col min="4" max="4" width="11.8515625" style="43" customWidth="1"/>
    <col min="5" max="5" width="15.00390625" style="43" customWidth="1"/>
    <col min="6" max="6" width="22.00390625" style="43" customWidth="1"/>
    <col min="7" max="16384" width="9.140625" style="43" customWidth="1"/>
  </cols>
  <sheetData>
    <row r="1" spans="1:5" ht="18.75">
      <c r="A1" s="80" t="s">
        <v>356</v>
      </c>
      <c r="B1" s="80"/>
      <c r="C1" s="80"/>
      <c r="D1" s="80"/>
      <c r="E1" s="80"/>
    </row>
    <row r="2" spans="1:5" ht="18.75">
      <c r="A2" s="80" t="s">
        <v>211</v>
      </c>
      <c r="B2" s="80"/>
      <c r="C2" s="80"/>
      <c r="D2" s="80"/>
      <c r="E2" s="80"/>
    </row>
    <row r="3" spans="1:5" ht="18.75">
      <c r="A3" s="80" t="str">
        <f>'прил 1 вода'!A3:E3</f>
        <v>                                                                                          по делу № 2-14в</v>
      </c>
      <c r="B3" s="80"/>
      <c r="C3" s="80"/>
      <c r="D3" s="80"/>
      <c r="E3" s="80"/>
    </row>
    <row r="4" spans="1:5" ht="18.75">
      <c r="A4" s="44"/>
      <c r="B4" s="44"/>
      <c r="C4" s="44"/>
      <c r="D4" s="44"/>
      <c r="E4" s="45"/>
    </row>
    <row r="5" spans="1:5" ht="18.75">
      <c r="A5" s="92" t="s">
        <v>199</v>
      </c>
      <c r="B5" s="92"/>
      <c r="C5" s="92"/>
      <c r="D5" s="92"/>
      <c r="E5" s="92"/>
    </row>
    <row r="6" spans="1:8" ht="18.75">
      <c r="A6" s="82" t="str">
        <f>'прил 1 вода'!A6:E6</f>
        <v>Общества с ограниченной ответственностью «Ангарская ТГК»</v>
      </c>
      <c r="B6" s="82"/>
      <c r="C6" s="82"/>
      <c r="D6" s="82"/>
      <c r="E6" s="82"/>
      <c r="F6" s="5"/>
      <c r="G6" s="6"/>
      <c r="H6" s="6"/>
    </row>
    <row r="7" spans="1:8" ht="18.75">
      <c r="A7" s="83" t="str">
        <f>'прил 1 вода'!A7:E7</f>
        <v>(Мотыгинский район, п. Мотыгино, ИНН 2426004880)</v>
      </c>
      <c r="B7" s="83"/>
      <c r="C7" s="83"/>
      <c r="D7" s="83"/>
      <c r="E7" s="83"/>
      <c r="F7" s="6"/>
      <c r="G7" s="6"/>
      <c r="H7" s="6"/>
    </row>
    <row r="8" spans="1:8" ht="18.75">
      <c r="A8" s="46"/>
      <c r="B8" s="46"/>
      <c r="C8" s="46"/>
      <c r="D8" s="46"/>
      <c r="E8" s="46"/>
      <c r="F8" s="6"/>
      <c r="G8" s="6"/>
      <c r="H8" s="6"/>
    </row>
    <row r="9" spans="1:5" ht="27.75" customHeight="1">
      <c r="A9" s="93" t="s">
        <v>0</v>
      </c>
      <c r="B9" s="93" t="s">
        <v>85</v>
      </c>
      <c r="C9" s="95" t="s">
        <v>200</v>
      </c>
      <c r="D9" s="96"/>
      <c r="E9" s="93" t="s">
        <v>72</v>
      </c>
    </row>
    <row r="10" spans="1:5" ht="36.75" customHeight="1">
      <c r="A10" s="94"/>
      <c r="B10" s="94"/>
      <c r="C10" s="9" t="s">
        <v>201</v>
      </c>
      <c r="D10" s="9" t="s">
        <v>67</v>
      </c>
      <c r="E10" s="94"/>
    </row>
    <row r="11" spans="1:5" s="47" customFormat="1" ht="15.75">
      <c r="A11" s="9">
        <v>1</v>
      </c>
      <c r="B11" s="9">
        <v>2</v>
      </c>
      <c r="C11" s="9">
        <v>3</v>
      </c>
      <c r="D11" s="9">
        <v>4</v>
      </c>
      <c r="E11" s="9">
        <v>5</v>
      </c>
    </row>
    <row r="12" spans="1:5" ht="94.5">
      <c r="A12" s="9" t="s">
        <v>98</v>
      </c>
      <c r="B12" s="48" t="s">
        <v>86</v>
      </c>
      <c r="C12" s="10">
        <v>0</v>
      </c>
      <c r="D12" s="10">
        <v>0</v>
      </c>
      <c r="E12" s="10">
        <f aca="true" t="shared" si="0" ref="E12:E17">+C12-D12</f>
        <v>0</v>
      </c>
    </row>
    <row r="13" spans="1:5" ht="15.75">
      <c r="A13" s="9" t="s">
        <v>79</v>
      </c>
      <c r="B13" s="49" t="s">
        <v>87</v>
      </c>
      <c r="C13" s="50">
        <v>0</v>
      </c>
      <c r="D13" s="50">
        <v>0</v>
      </c>
      <c r="E13" s="10">
        <f t="shared" si="0"/>
        <v>0</v>
      </c>
    </row>
    <row r="14" spans="1:5" ht="20.25" customHeight="1">
      <c r="A14" s="9" t="s">
        <v>80</v>
      </c>
      <c r="B14" s="49" t="s">
        <v>88</v>
      </c>
      <c r="C14" s="50">
        <v>0</v>
      </c>
      <c r="D14" s="50">
        <v>0</v>
      </c>
      <c r="E14" s="10">
        <f t="shared" si="0"/>
        <v>0</v>
      </c>
    </row>
    <row r="15" spans="1:5" ht="18.75" customHeight="1">
      <c r="A15" s="9">
        <v>4</v>
      </c>
      <c r="B15" s="51" t="s">
        <v>202</v>
      </c>
      <c r="C15" s="10">
        <v>0</v>
      </c>
      <c r="D15" s="10">
        <v>0</v>
      </c>
      <c r="E15" s="10">
        <f t="shared" si="0"/>
        <v>0</v>
      </c>
    </row>
    <row r="16" spans="1:5" ht="22.5" customHeight="1">
      <c r="A16" s="9" t="s">
        <v>82</v>
      </c>
      <c r="B16" s="51" t="s">
        <v>89</v>
      </c>
      <c r="C16" s="10">
        <v>0</v>
      </c>
      <c r="D16" s="10">
        <v>0</v>
      </c>
      <c r="E16" s="10">
        <f t="shared" si="0"/>
        <v>0</v>
      </c>
    </row>
    <row r="17" spans="1:5" ht="15.75">
      <c r="A17" s="9" t="s">
        <v>83</v>
      </c>
      <c r="B17" s="51" t="s">
        <v>203</v>
      </c>
      <c r="C17" s="10">
        <v>130.04</v>
      </c>
      <c r="D17" s="10">
        <v>71.4</v>
      </c>
      <c r="E17" s="10">
        <f t="shared" si="0"/>
        <v>58.639999999999986</v>
      </c>
    </row>
    <row r="18" spans="1:5" ht="30" customHeight="1">
      <c r="A18" s="9" t="s">
        <v>84</v>
      </c>
      <c r="B18" s="48" t="s">
        <v>48</v>
      </c>
      <c r="C18" s="10">
        <f>SUM(C12:C17)</f>
        <v>130.04</v>
      </c>
      <c r="D18" s="10">
        <f>SUM(D12:D17)</f>
        <v>71.4</v>
      </c>
      <c r="E18" s="10">
        <f>SUM(E12:E17)</f>
        <v>58.639999999999986</v>
      </c>
    </row>
  </sheetData>
  <sheetProtection/>
  <mergeCells count="10">
    <mergeCell ref="A3:E3"/>
    <mergeCell ref="A1:E1"/>
    <mergeCell ref="A5:E5"/>
    <mergeCell ref="A6:E6"/>
    <mergeCell ref="A7:E7"/>
    <mergeCell ref="A9:A10"/>
    <mergeCell ref="B9:B10"/>
    <mergeCell ref="C9:D9"/>
    <mergeCell ref="E9:E10"/>
    <mergeCell ref="A2:E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view="pageLayout" workbookViewId="0" topLeftCell="A1">
      <selection activeCell="A6" sqref="A6:E6"/>
    </sheetView>
  </sheetViews>
  <sheetFormatPr defaultColWidth="9.140625" defaultRowHeight="15" outlineLevelCol="1"/>
  <cols>
    <col min="1" max="1" width="7.421875" style="52" customWidth="1"/>
    <col min="2" max="2" width="38.00390625" style="52" customWidth="1"/>
    <col min="3" max="3" width="14.140625" style="52" customWidth="1"/>
    <col min="4" max="4" width="13.140625" style="52" customWidth="1" outlineLevel="1"/>
    <col min="5" max="5" width="14.140625" style="52" customWidth="1"/>
    <col min="6" max="6" width="27.421875" style="52" customWidth="1"/>
    <col min="7" max="16384" width="9.140625" style="52" customWidth="1"/>
  </cols>
  <sheetData>
    <row r="1" spans="1:5" ht="18.75" customHeight="1">
      <c r="A1" s="80" t="s">
        <v>354</v>
      </c>
      <c r="B1" s="80"/>
      <c r="C1" s="80"/>
      <c r="D1" s="80"/>
      <c r="E1" s="80"/>
    </row>
    <row r="2" spans="1:6" ht="21.75" customHeight="1">
      <c r="A2" s="80" t="s">
        <v>212</v>
      </c>
      <c r="B2" s="80"/>
      <c r="C2" s="80"/>
      <c r="D2" s="80"/>
      <c r="E2" s="80"/>
      <c r="F2" s="5"/>
    </row>
    <row r="3" spans="1:6" ht="18.75">
      <c r="A3" s="80" t="str">
        <f>'прил 1 вода'!A3:E3</f>
        <v>                                                                                          по делу № 2-14в</v>
      </c>
      <c r="B3" s="80"/>
      <c r="C3" s="80"/>
      <c r="D3" s="80"/>
      <c r="E3" s="80"/>
      <c r="F3" s="5"/>
    </row>
    <row r="4" spans="1:6" ht="18.75">
      <c r="A4" s="53"/>
      <c r="B4" s="54"/>
      <c r="C4" s="53"/>
      <c r="D4" s="53"/>
      <c r="E4" s="53"/>
      <c r="F4" s="5"/>
    </row>
    <row r="5" spans="1:6" ht="18.75">
      <c r="A5" s="98" t="s">
        <v>209</v>
      </c>
      <c r="B5" s="98"/>
      <c r="C5" s="98"/>
      <c r="D5" s="98"/>
      <c r="E5" s="98"/>
      <c r="F5" s="55"/>
    </row>
    <row r="6" spans="1:6" ht="18.75">
      <c r="A6" s="98" t="str">
        <f>'прил 1 вода'!A6:E6</f>
        <v>Общества с ограниченной ответственностью «Ангарская ТГК»</v>
      </c>
      <c r="B6" s="98"/>
      <c r="C6" s="98"/>
      <c r="D6" s="98"/>
      <c r="E6" s="98"/>
      <c r="F6" s="55"/>
    </row>
    <row r="7" spans="1:6" ht="18.75">
      <c r="A7" s="98" t="str">
        <f>'прил 1 вода'!A7:E7</f>
        <v>(Мотыгинский район, п. Мотыгино, ИНН 2426004880)</v>
      </c>
      <c r="B7" s="98"/>
      <c r="C7" s="98"/>
      <c r="D7" s="98"/>
      <c r="E7" s="98"/>
      <c r="F7" s="55"/>
    </row>
    <row r="8" ht="18.75">
      <c r="B8" s="56"/>
    </row>
    <row r="9" spans="1:5" ht="24.75" customHeight="1">
      <c r="A9" s="97" t="s">
        <v>0</v>
      </c>
      <c r="B9" s="97" t="s">
        <v>58</v>
      </c>
      <c r="C9" s="97" t="s">
        <v>59</v>
      </c>
      <c r="D9" s="97" t="s">
        <v>204</v>
      </c>
      <c r="E9" s="97" t="s">
        <v>205</v>
      </c>
    </row>
    <row r="10" spans="1:5" ht="47.25" customHeight="1">
      <c r="A10" s="97"/>
      <c r="B10" s="97"/>
      <c r="C10" s="97"/>
      <c r="D10" s="97"/>
      <c r="E10" s="97"/>
    </row>
    <row r="11" spans="1:5" ht="18" customHeight="1">
      <c r="A11" s="57">
        <v>1</v>
      </c>
      <c r="B11" s="57">
        <v>2</v>
      </c>
      <c r="C11" s="57">
        <v>3</v>
      </c>
      <c r="D11" s="57">
        <v>4</v>
      </c>
      <c r="E11" s="57">
        <v>5</v>
      </c>
    </row>
    <row r="12" spans="1:6" ht="15.75">
      <c r="A12" s="57">
        <v>1</v>
      </c>
      <c r="B12" s="58" t="s">
        <v>61</v>
      </c>
      <c r="C12" s="57" t="s">
        <v>60</v>
      </c>
      <c r="D12" s="78">
        <v>0</v>
      </c>
      <c r="E12" s="78">
        <v>0</v>
      </c>
      <c r="F12" s="55"/>
    </row>
    <row r="13" spans="1:5" ht="15.75">
      <c r="A13" s="57">
        <f aca="true" t="shared" si="0" ref="A13:A18">A12+1</f>
        <v>2</v>
      </c>
      <c r="B13" s="58" t="s">
        <v>353</v>
      </c>
      <c r="C13" s="57" t="s">
        <v>60</v>
      </c>
      <c r="D13" s="78">
        <v>0</v>
      </c>
      <c r="E13" s="78">
        <v>70</v>
      </c>
    </row>
    <row r="14" spans="1:5" ht="15.75">
      <c r="A14" s="164"/>
      <c r="B14" s="165"/>
      <c r="C14" s="164"/>
      <c r="D14" s="166"/>
      <c r="E14" s="166"/>
    </row>
    <row r="15" spans="1:5" ht="15.75">
      <c r="A15" s="164"/>
      <c r="B15" s="167"/>
      <c r="C15" s="164"/>
      <c r="D15" s="166"/>
      <c r="E15" s="166"/>
    </row>
    <row r="16" spans="1:5" ht="15.75">
      <c r="A16" s="164"/>
      <c r="B16" s="165"/>
      <c r="C16" s="164"/>
      <c r="D16" s="166"/>
      <c r="E16" s="166"/>
    </row>
    <row r="17" spans="1:5" ht="15.75">
      <c r="A17" s="164"/>
      <c r="B17" s="165"/>
      <c r="C17" s="164"/>
      <c r="D17" s="166"/>
      <c r="E17" s="166"/>
    </row>
    <row r="18" spans="1:5" ht="15.75" hidden="1">
      <c r="A18" s="161"/>
      <c r="B18" s="162" t="s">
        <v>64</v>
      </c>
      <c r="C18" s="161" t="s">
        <v>62</v>
      </c>
      <c r="D18" s="163"/>
      <c r="E18" s="163"/>
    </row>
    <row r="19" spans="1:5" ht="15.75" customHeight="1" hidden="1">
      <c r="A19" s="57"/>
      <c r="B19" s="58" t="s">
        <v>65</v>
      </c>
      <c r="C19" s="57" t="s">
        <v>60</v>
      </c>
      <c r="D19" s="59">
        <v>0</v>
      </c>
      <c r="E19" s="59">
        <v>0</v>
      </c>
    </row>
    <row r="20" ht="15.75" customHeight="1"/>
  </sheetData>
  <sheetProtection/>
  <mergeCells count="11">
    <mergeCell ref="A1:E1"/>
    <mergeCell ref="A2:E2"/>
    <mergeCell ref="A3:E3"/>
    <mergeCell ref="A5:E5"/>
    <mergeCell ref="A9:A10"/>
    <mergeCell ref="B9:B10"/>
    <mergeCell ref="C9:C10"/>
    <mergeCell ref="D9:D10"/>
    <mergeCell ref="E9:E10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 topLeftCell="A1">
      <selection activeCell="A3" sqref="A3:E3"/>
    </sheetView>
  </sheetViews>
  <sheetFormatPr defaultColWidth="9.140625" defaultRowHeight="15"/>
  <cols>
    <col min="1" max="1" width="5.8515625" style="60" customWidth="1"/>
    <col min="2" max="2" width="26.7109375" style="60" customWidth="1"/>
    <col min="3" max="3" width="14.00390625" style="60" customWidth="1"/>
    <col min="4" max="4" width="22.7109375" style="60" customWidth="1"/>
    <col min="5" max="5" width="17.28125" style="60" customWidth="1"/>
    <col min="6" max="16384" width="9.140625" style="60" customWidth="1"/>
  </cols>
  <sheetData>
    <row r="1" spans="1:5" ht="18.75">
      <c r="A1" s="80" t="s">
        <v>251</v>
      </c>
      <c r="B1" s="80"/>
      <c r="C1" s="80"/>
      <c r="D1" s="80"/>
      <c r="E1" s="80"/>
    </row>
    <row r="2" spans="1:5" ht="18.75">
      <c r="A2" s="80" t="s">
        <v>212</v>
      </c>
      <c r="B2" s="80"/>
      <c r="C2" s="80"/>
      <c r="D2" s="80"/>
      <c r="E2" s="80"/>
    </row>
    <row r="3" spans="1:5" ht="18.75">
      <c r="A3" s="80" t="str">
        <f>'прил 1 вода'!A3:E3</f>
        <v>                                                                                          по делу № 2-14в</v>
      </c>
      <c r="B3" s="80"/>
      <c r="C3" s="80"/>
      <c r="D3" s="80"/>
      <c r="E3" s="80"/>
    </row>
    <row r="4" ht="15.75" customHeight="1"/>
    <row r="5" spans="1:5" ht="18.75">
      <c r="A5" s="99" t="s">
        <v>210</v>
      </c>
      <c r="B5" s="99"/>
      <c r="C5" s="99"/>
      <c r="D5" s="99"/>
      <c r="E5" s="99"/>
    </row>
    <row r="6" spans="1:5" ht="18.75">
      <c r="A6" s="99" t="str">
        <f>'прил 1 вода'!A6:E6</f>
        <v>Общества с ограниченной ответственностью «Ангарская ТГК»</v>
      </c>
      <c r="B6" s="99"/>
      <c r="C6" s="99"/>
      <c r="D6" s="99"/>
      <c r="E6" s="99"/>
    </row>
    <row r="7" spans="1:5" ht="17.25" customHeight="1">
      <c r="A7" s="100" t="str">
        <f>'прил 1 вода'!A7:E7</f>
        <v>(Мотыгинский район, п. Мотыгино, ИНН 2426004880)</v>
      </c>
      <c r="B7" s="100"/>
      <c r="C7" s="100"/>
      <c r="D7" s="100"/>
      <c r="E7" s="100"/>
    </row>
    <row r="9" spans="1:5" s="61" customFormat="1" ht="23.25" customHeight="1">
      <c r="A9" s="101" t="s">
        <v>0</v>
      </c>
      <c r="B9" s="101" t="s">
        <v>93</v>
      </c>
      <c r="C9" s="101" t="s">
        <v>59</v>
      </c>
      <c r="D9" s="103" t="s">
        <v>94</v>
      </c>
      <c r="E9" s="103"/>
    </row>
    <row r="10" spans="1:5" s="61" customFormat="1" ht="62.25" customHeight="1">
      <c r="A10" s="102"/>
      <c r="B10" s="102"/>
      <c r="C10" s="102"/>
      <c r="D10" s="62" t="s">
        <v>95</v>
      </c>
      <c r="E10" s="64" t="s">
        <v>92</v>
      </c>
    </row>
    <row r="11" spans="1:5" s="61" customFormat="1" ht="18.75">
      <c r="A11" s="62">
        <v>1</v>
      </c>
      <c r="B11" s="62">
        <v>2</v>
      </c>
      <c r="C11" s="62">
        <v>3</v>
      </c>
      <c r="D11" s="62">
        <v>4</v>
      </c>
      <c r="E11" s="62">
        <v>5</v>
      </c>
    </row>
    <row r="12" spans="1:5" s="61" customFormat="1" ht="18.75">
      <c r="A12" s="62">
        <v>1</v>
      </c>
      <c r="B12" s="63" t="s">
        <v>57</v>
      </c>
      <c r="C12" s="62"/>
      <c r="D12" s="79"/>
      <c r="E12" s="79"/>
    </row>
    <row r="13" spans="1:5" s="61" customFormat="1" ht="55.5" customHeight="1">
      <c r="A13" s="62" t="s">
        <v>3</v>
      </c>
      <c r="B13" s="63" t="s">
        <v>96</v>
      </c>
      <c r="C13" s="66" t="s">
        <v>206</v>
      </c>
      <c r="D13" s="64">
        <v>426.05</v>
      </c>
      <c r="E13" s="64">
        <v>448.79</v>
      </c>
    </row>
    <row r="14" spans="1:5" ht="57" customHeight="1">
      <c r="A14" s="62" t="s">
        <v>4</v>
      </c>
      <c r="B14" s="63" t="s">
        <v>97</v>
      </c>
      <c r="C14" s="66" t="s">
        <v>206</v>
      </c>
      <c r="D14" s="64">
        <v>426.05</v>
      </c>
      <c r="E14" s="64">
        <v>448.79</v>
      </c>
    </row>
    <row r="16" spans="1:5" ht="65.25" customHeight="1">
      <c r="A16" s="104" t="s">
        <v>207</v>
      </c>
      <c r="B16" s="104"/>
      <c r="C16" s="104"/>
      <c r="D16" s="104"/>
      <c r="E16" s="104"/>
    </row>
  </sheetData>
  <sheetProtection/>
  <mergeCells count="11">
    <mergeCell ref="A9:A10"/>
    <mergeCell ref="B9:B10"/>
    <mergeCell ref="C9:C10"/>
    <mergeCell ref="D9:E9"/>
    <mergeCell ref="A16:E16"/>
    <mergeCell ref="A1:E1"/>
    <mergeCell ref="A2:E2"/>
    <mergeCell ref="A3:E3"/>
    <mergeCell ref="A5:E5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5"/>
  <sheetViews>
    <sheetView tabSelected="1" view="pageBreakPreview" zoomScaleSheetLayoutView="100" workbookViewId="0" topLeftCell="A1">
      <selection activeCell="D111" sqref="D111"/>
    </sheetView>
  </sheetViews>
  <sheetFormatPr defaultColWidth="9.140625" defaultRowHeight="15"/>
  <cols>
    <col min="1" max="1" width="9.28125" style="106" customWidth="1"/>
    <col min="2" max="2" width="41.140625" style="157" customWidth="1"/>
    <col min="3" max="4" width="13.57421875" style="106" customWidth="1"/>
    <col min="5" max="5" width="14.00390625" style="106" customWidth="1"/>
    <col min="6" max="7" width="14.7109375" style="106" customWidth="1"/>
    <col min="8" max="8" width="12.00390625" style="106" hidden="1" customWidth="1"/>
    <col min="9" max="9" width="11.421875" style="106" customWidth="1"/>
    <col min="10" max="10" width="27.7109375" style="106" hidden="1" customWidth="1"/>
    <col min="11" max="16384" width="9.140625" style="106" customWidth="1"/>
  </cols>
  <sheetData>
    <row r="1" spans="1:10" ht="15" customHeight="1">
      <c r="A1" s="105" t="s">
        <v>252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5.75" customHeight="1">
      <c r="A2" s="107" t="str">
        <f>'прил 1 вода'!A2:E2</f>
        <v>                                                                                          к экспертному заключению 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5.75" customHeight="1">
      <c r="A3" s="107" t="str">
        <f>'прил 1 вода'!A3:E3</f>
        <v>                                                                                          по делу № 2-14в</v>
      </c>
      <c r="B3" s="107"/>
      <c r="C3" s="107"/>
      <c r="D3" s="107"/>
      <c r="E3" s="107"/>
      <c r="F3" s="107"/>
      <c r="G3" s="107"/>
      <c r="H3" s="107"/>
      <c r="I3" s="107"/>
      <c r="J3" s="107"/>
    </row>
    <row r="5" spans="1:10" ht="32.25" customHeight="1">
      <c r="A5" s="108" t="s">
        <v>253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ht="18.75">
      <c r="A6" s="109"/>
      <c r="B6" s="110"/>
      <c r="C6" s="109"/>
      <c r="D6" s="109"/>
      <c r="E6" s="109"/>
      <c r="F6" s="109"/>
      <c r="G6" s="109"/>
      <c r="H6" s="109"/>
      <c r="I6" s="109"/>
      <c r="J6" s="109"/>
    </row>
    <row r="7" spans="1:10" ht="15.75">
      <c r="A7" s="111" t="s">
        <v>254</v>
      </c>
      <c r="B7" s="111"/>
      <c r="C7" s="111"/>
      <c r="D7" s="111"/>
      <c r="E7" s="111"/>
      <c r="F7" s="111"/>
      <c r="G7" s="111"/>
      <c r="H7" s="111"/>
      <c r="I7" s="111"/>
      <c r="J7" s="111"/>
    </row>
    <row r="8" spans="1:10" ht="15.75">
      <c r="A8" s="111" t="s">
        <v>249</v>
      </c>
      <c r="B8" s="111"/>
      <c r="C8" s="111"/>
      <c r="D8" s="111"/>
      <c r="E8" s="111"/>
      <c r="F8" s="111"/>
      <c r="G8" s="111"/>
      <c r="H8" s="111"/>
      <c r="I8" s="111"/>
      <c r="J8" s="111"/>
    </row>
    <row r="9" spans="1:10" ht="13.5" customHeight="1">
      <c r="A9" s="112"/>
      <c r="B9" s="111"/>
      <c r="C9" s="111"/>
      <c r="D9" s="111"/>
      <c r="E9" s="111"/>
      <c r="F9" s="111"/>
      <c r="G9" s="111"/>
      <c r="H9" s="111"/>
      <c r="I9" s="111"/>
      <c r="J9" s="111"/>
    </row>
    <row r="10" ht="12.75" hidden="1"/>
    <row r="11" spans="1:10" ht="63" customHeight="1">
      <c r="A11" s="113" t="s">
        <v>0</v>
      </c>
      <c r="B11" s="114" t="s">
        <v>1</v>
      </c>
      <c r="C11" s="115" t="s">
        <v>255</v>
      </c>
      <c r="D11" s="115" t="s">
        <v>256</v>
      </c>
      <c r="E11" s="115" t="s">
        <v>257</v>
      </c>
      <c r="F11" s="115" t="s">
        <v>258</v>
      </c>
      <c r="G11" s="115" t="s">
        <v>259</v>
      </c>
      <c r="H11" s="115" t="s">
        <v>260</v>
      </c>
      <c r="I11" s="115" t="s">
        <v>261</v>
      </c>
      <c r="J11" s="115" t="s">
        <v>262</v>
      </c>
    </row>
    <row r="12" spans="1:10" ht="12.75">
      <c r="A12" s="116">
        <v>1</v>
      </c>
      <c r="B12" s="116">
        <v>2</v>
      </c>
      <c r="C12" s="116">
        <v>3</v>
      </c>
      <c r="D12" s="116"/>
      <c r="E12" s="116">
        <v>4</v>
      </c>
      <c r="F12" s="116">
        <v>5</v>
      </c>
      <c r="G12" s="116">
        <v>6</v>
      </c>
      <c r="H12" s="116"/>
      <c r="I12" s="116">
        <v>7</v>
      </c>
      <c r="J12" s="116">
        <v>8</v>
      </c>
    </row>
    <row r="13" spans="1:10" s="119" customFormat="1" ht="15.75">
      <c r="A13" s="116">
        <v>1</v>
      </c>
      <c r="B13" s="120" t="s">
        <v>2</v>
      </c>
      <c r="C13" s="117">
        <f aca="true" t="shared" si="0" ref="C13:H13">C14+C15+C40+C41+C46+C48+C57+C60</f>
        <v>2879.8459919999996</v>
      </c>
      <c r="D13" s="117">
        <f t="shared" si="0"/>
        <v>2159.884494</v>
      </c>
      <c r="E13" s="117">
        <f t="shared" si="0"/>
        <v>1800.8769704532747</v>
      </c>
      <c r="F13" s="117">
        <f t="shared" si="0"/>
        <v>569.927644076806</v>
      </c>
      <c r="G13" s="117">
        <f t="shared" si="0"/>
        <v>1230.9493263764684</v>
      </c>
      <c r="H13" s="117">
        <f t="shared" si="0"/>
        <v>2086.585947341245</v>
      </c>
      <c r="I13" s="117">
        <f>E13/$E$92*100</f>
        <v>75.9110804337294</v>
      </c>
      <c r="J13" s="118"/>
    </row>
    <row r="14" spans="1:10" ht="25.5" hidden="1">
      <c r="A14" s="116" t="s">
        <v>3</v>
      </c>
      <c r="B14" s="120" t="s">
        <v>263</v>
      </c>
      <c r="C14" s="117">
        <v>0</v>
      </c>
      <c r="D14" s="117">
        <f aca="true" t="shared" si="1" ref="D14:D77">C14/12*9</f>
        <v>0</v>
      </c>
      <c r="E14" s="117"/>
      <c r="F14" s="117"/>
      <c r="G14" s="117"/>
      <c r="H14" s="117"/>
      <c r="I14" s="117"/>
      <c r="J14" s="121"/>
    </row>
    <row r="15" spans="1:10" ht="12.75" hidden="1">
      <c r="A15" s="116" t="s">
        <v>4</v>
      </c>
      <c r="B15" s="120" t="s">
        <v>264</v>
      </c>
      <c r="C15" s="117">
        <f aca="true" t="shared" si="2" ref="C15:H15">C16+C32+C35+C36+C37</f>
        <v>535.9298459999999</v>
      </c>
      <c r="D15" s="117">
        <f t="shared" si="2"/>
        <v>401.9473845</v>
      </c>
      <c r="E15" s="117">
        <f t="shared" si="2"/>
        <v>352.2757869123652</v>
      </c>
      <c r="F15" s="117">
        <f t="shared" si="2"/>
        <v>115.93495260498601</v>
      </c>
      <c r="G15" s="117">
        <f t="shared" si="2"/>
        <v>236.34083430737917</v>
      </c>
      <c r="H15" s="117">
        <f t="shared" si="2"/>
        <v>410.988418064426</v>
      </c>
      <c r="I15" s="117">
        <f aca="true" t="shared" si="3" ref="I15:I77">E15/$E$92*100</f>
        <v>14.849229588642633</v>
      </c>
      <c r="J15" s="121"/>
    </row>
    <row r="16" spans="1:10" ht="25.5" hidden="1">
      <c r="A16" s="116" t="s">
        <v>5</v>
      </c>
      <c r="B16" s="120" t="s">
        <v>265</v>
      </c>
      <c r="C16" s="117">
        <f aca="true" t="shared" si="4" ref="C16:H16">C17+C20+C23+C26+C29</f>
        <v>535.9298459999999</v>
      </c>
      <c r="D16" s="117">
        <f t="shared" si="4"/>
        <v>401.9473845</v>
      </c>
      <c r="E16" s="117">
        <f t="shared" si="4"/>
        <v>12.0681550473652</v>
      </c>
      <c r="F16" s="117">
        <f t="shared" si="4"/>
        <v>3.9716637799860006</v>
      </c>
      <c r="G16" s="117">
        <f t="shared" si="4"/>
        <v>8.0964912673792</v>
      </c>
      <c r="H16" s="117">
        <f t="shared" si="4"/>
        <v>14.079514221926066</v>
      </c>
      <c r="I16" s="117">
        <f t="shared" si="3"/>
        <v>0.5087003185213014</v>
      </c>
      <c r="J16" s="121"/>
    </row>
    <row r="17" spans="1:10" ht="12.75" hidden="1">
      <c r="A17" s="116" t="s">
        <v>6</v>
      </c>
      <c r="B17" s="120" t="s">
        <v>266</v>
      </c>
      <c r="C17" s="117">
        <f aca="true" t="shared" si="5" ref="C17:H17">C18*C19</f>
        <v>535.9298459999999</v>
      </c>
      <c r="D17" s="117">
        <f t="shared" si="5"/>
        <v>401.9473845</v>
      </c>
      <c r="E17" s="117">
        <f t="shared" si="5"/>
        <v>12.0681550473652</v>
      </c>
      <c r="F17" s="117">
        <f t="shared" si="5"/>
        <v>3.9716637799860006</v>
      </c>
      <c r="G17" s="117">
        <f t="shared" si="5"/>
        <v>8.0964912673792</v>
      </c>
      <c r="H17" s="117">
        <f t="shared" si="5"/>
        <v>14.079514221926066</v>
      </c>
      <c r="I17" s="117">
        <f t="shared" si="3"/>
        <v>0.5087003185213014</v>
      </c>
      <c r="J17" s="122"/>
    </row>
    <row r="18" spans="1:10" s="126" customFormat="1" ht="12.75" hidden="1">
      <c r="A18" s="123"/>
      <c r="B18" s="124" t="s">
        <v>267</v>
      </c>
      <c r="C18" s="125">
        <v>124.809</v>
      </c>
      <c r="D18" s="117">
        <f t="shared" si="1"/>
        <v>93.60675</v>
      </c>
      <c r="E18" s="125">
        <f>F18+G18</f>
        <v>2.8297273200000004</v>
      </c>
      <c r="F18" s="125">
        <f>'[4]эл. энергия '!N12/12*3</f>
        <v>0.9432424400000001</v>
      </c>
      <c r="G18" s="125">
        <f>'[4]эл. энергия '!N12/2</f>
        <v>1.8864848800000003</v>
      </c>
      <c r="H18" s="117">
        <f>(F18/4*6)+G18</f>
        <v>3.30134854</v>
      </c>
      <c r="I18" s="117"/>
      <c r="J18" s="122"/>
    </row>
    <row r="19" spans="1:10" s="126" customFormat="1" ht="12.75" hidden="1">
      <c r="A19" s="123"/>
      <c r="B19" s="124" t="s">
        <v>268</v>
      </c>
      <c r="C19" s="125">
        <v>4.294</v>
      </c>
      <c r="D19" s="117">
        <f>C19</f>
        <v>4.294</v>
      </c>
      <c r="E19" s="125">
        <f>((F19*3)+(G19*6))/9</f>
        <v>4.264776666666666</v>
      </c>
      <c r="F19" s="125">
        <v>4.21065</v>
      </c>
      <c r="G19" s="125">
        <v>4.29184</v>
      </c>
      <c r="H19" s="117">
        <f>E19</f>
        <v>4.264776666666666</v>
      </c>
      <c r="I19" s="117"/>
      <c r="J19" s="122" t="s">
        <v>269</v>
      </c>
    </row>
    <row r="20" spans="1:10" s="126" customFormat="1" ht="12.75" hidden="1">
      <c r="A20" s="116" t="s">
        <v>7</v>
      </c>
      <c r="B20" s="120" t="s">
        <v>270</v>
      </c>
      <c r="C20" s="117">
        <f>C21*C22</f>
        <v>0</v>
      </c>
      <c r="D20" s="117">
        <f t="shared" si="1"/>
        <v>0</v>
      </c>
      <c r="E20" s="117">
        <f>E21*E22</f>
        <v>0</v>
      </c>
      <c r="F20" s="117">
        <f>F21*F22</f>
        <v>0</v>
      </c>
      <c r="G20" s="117">
        <f>G21*G22</f>
        <v>0</v>
      </c>
      <c r="H20" s="117"/>
      <c r="I20" s="117">
        <f t="shared" si="3"/>
        <v>0</v>
      </c>
      <c r="J20" s="122"/>
    </row>
    <row r="21" spans="1:10" s="126" customFormat="1" ht="12.75" hidden="1">
      <c r="A21" s="123"/>
      <c r="B21" s="124" t="s">
        <v>267</v>
      </c>
      <c r="C21" s="125"/>
      <c r="D21" s="117">
        <f t="shared" si="1"/>
        <v>0</v>
      </c>
      <c r="E21" s="125"/>
      <c r="F21" s="125"/>
      <c r="G21" s="125"/>
      <c r="H21" s="117"/>
      <c r="I21" s="117">
        <f t="shared" si="3"/>
        <v>0</v>
      </c>
      <c r="J21" s="122"/>
    </row>
    <row r="22" spans="1:10" s="126" customFormat="1" ht="12.75" hidden="1">
      <c r="A22" s="123"/>
      <c r="B22" s="124" t="s">
        <v>268</v>
      </c>
      <c r="C22" s="125"/>
      <c r="D22" s="117">
        <f t="shared" si="1"/>
        <v>0</v>
      </c>
      <c r="E22" s="125"/>
      <c r="F22" s="125"/>
      <c r="G22" s="125"/>
      <c r="H22" s="117"/>
      <c r="I22" s="117">
        <f t="shared" si="3"/>
        <v>0</v>
      </c>
      <c r="J22" s="122"/>
    </row>
    <row r="23" spans="1:10" s="126" customFormat="1" ht="12.75" hidden="1">
      <c r="A23" s="116" t="s">
        <v>271</v>
      </c>
      <c r="B23" s="120" t="s">
        <v>272</v>
      </c>
      <c r="C23" s="117">
        <f>C25*C24</f>
        <v>0</v>
      </c>
      <c r="D23" s="117">
        <f t="shared" si="1"/>
        <v>0</v>
      </c>
      <c r="E23" s="117">
        <f>E25*E24</f>
        <v>0</v>
      </c>
      <c r="F23" s="117">
        <f>F25*F24</f>
        <v>0</v>
      </c>
      <c r="G23" s="117">
        <f>G25*G24</f>
        <v>0</v>
      </c>
      <c r="H23" s="117"/>
      <c r="I23" s="117">
        <f t="shared" si="3"/>
        <v>0</v>
      </c>
      <c r="J23" s="122"/>
    </row>
    <row r="24" spans="1:10" s="126" customFormat="1" ht="12.75" hidden="1">
      <c r="A24" s="123"/>
      <c r="B24" s="124" t="s">
        <v>267</v>
      </c>
      <c r="C24" s="125"/>
      <c r="D24" s="117">
        <f t="shared" si="1"/>
        <v>0</v>
      </c>
      <c r="E24" s="125"/>
      <c r="F24" s="125"/>
      <c r="G24" s="125"/>
      <c r="H24" s="117"/>
      <c r="I24" s="117">
        <f t="shared" si="3"/>
        <v>0</v>
      </c>
      <c r="J24" s="122"/>
    </row>
    <row r="25" spans="1:10" s="126" customFormat="1" ht="12.75" hidden="1">
      <c r="A25" s="123"/>
      <c r="B25" s="124" t="s">
        <v>268</v>
      </c>
      <c r="C25" s="117"/>
      <c r="D25" s="117">
        <f t="shared" si="1"/>
        <v>0</v>
      </c>
      <c r="E25" s="117"/>
      <c r="F25" s="117"/>
      <c r="G25" s="117"/>
      <c r="H25" s="117"/>
      <c r="I25" s="117">
        <f t="shared" si="3"/>
        <v>0</v>
      </c>
      <c r="J25" s="121"/>
    </row>
    <row r="26" spans="1:10" ht="12.75" hidden="1">
      <c r="A26" s="116" t="s">
        <v>273</v>
      </c>
      <c r="B26" s="120" t="s">
        <v>274</v>
      </c>
      <c r="C26" s="117">
        <f>C27*C28</f>
        <v>0</v>
      </c>
      <c r="D26" s="117">
        <f t="shared" si="1"/>
        <v>0</v>
      </c>
      <c r="E26" s="117">
        <f>E27*E28</f>
        <v>0</v>
      </c>
      <c r="F26" s="117">
        <f>F27*F28</f>
        <v>0</v>
      </c>
      <c r="G26" s="117">
        <f>G27*G28</f>
        <v>0</v>
      </c>
      <c r="H26" s="117"/>
      <c r="I26" s="117">
        <f t="shared" si="3"/>
        <v>0</v>
      </c>
      <c r="J26" s="122"/>
    </row>
    <row r="27" spans="1:10" s="126" customFormat="1" ht="12.75" hidden="1">
      <c r="A27" s="123"/>
      <c r="B27" s="124" t="s">
        <v>267</v>
      </c>
      <c r="C27" s="125"/>
      <c r="D27" s="117">
        <f t="shared" si="1"/>
        <v>0</v>
      </c>
      <c r="E27" s="125"/>
      <c r="F27" s="125"/>
      <c r="G27" s="125"/>
      <c r="H27" s="117"/>
      <c r="I27" s="117">
        <f t="shared" si="3"/>
        <v>0</v>
      </c>
      <c r="J27" s="122"/>
    </row>
    <row r="28" spans="1:10" s="126" customFormat="1" ht="12.75" hidden="1">
      <c r="A28" s="123"/>
      <c r="B28" s="124" t="s">
        <v>268</v>
      </c>
      <c r="C28" s="117"/>
      <c r="D28" s="117">
        <f t="shared" si="1"/>
        <v>0</v>
      </c>
      <c r="E28" s="117"/>
      <c r="F28" s="117"/>
      <c r="G28" s="117"/>
      <c r="H28" s="117"/>
      <c r="I28" s="117">
        <f t="shared" si="3"/>
        <v>0</v>
      </c>
      <c r="J28" s="121"/>
    </row>
    <row r="29" spans="1:10" s="126" customFormat="1" ht="15.75" customHeight="1" hidden="1">
      <c r="A29" s="116" t="s">
        <v>275</v>
      </c>
      <c r="B29" s="120" t="s">
        <v>276</v>
      </c>
      <c r="C29" s="117">
        <f>C30*C31</f>
        <v>0</v>
      </c>
      <c r="D29" s="117">
        <f t="shared" si="1"/>
        <v>0</v>
      </c>
      <c r="E29" s="117">
        <f>E30*E31</f>
        <v>0</v>
      </c>
      <c r="F29" s="117">
        <f>F30*F31</f>
        <v>0</v>
      </c>
      <c r="G29" s="117">
        <f>G30*G31</f>
        <v>0</v>
      </c>
      <c r="H29" s="117"/>
      <c r="I29" s="117">
        <f t="shared" si="3"/>
        <v>0</v>
      </c>
      <c r="J29" s="121"/>
    </row>
    <row r="30" spans="1:10" s="126" customFormat="1" ht="25.5" hidden="1">
      <c r="A30" s="123"/>
      <c r="B30" s="124" t="s">
        <v>277</v>
      </c>
      <c r="C30" s="117"/>
      <c r="D30" s="117">
        <f t="shared" si="1"/>
        <v>0</v>
      </c>
      <c r="E30" s="117"/>
      <c r="F30" s="117"/>
      <c r="G30" s="117"/>
      <c r="H30" s="117"/>
      <c r="I30" s="117">
        <f t="shared" si="3"/>
        <v>0</v>
      </c>
      <c r="J30" s="121"/>
    </row>
    <row r="31" spans="1:10" s="126" customFormat="1" ht="12.75" hidden="1">
      <c r="A31" s="123"/>
      <c r="B31" s="124" t="s">
        <v>278</v>
      </c>
      <c r="C31" s="125"/>
      <c r="D31" s="117">
        <f t="shared" si="1"/>
        <v>0</v>
      </c>
      <c r="E31" s="125"/>
      <c r="F31" s="125"/>
      <c r="G31" s="125"/>
      <c r="H31" s="117"/>
      <c r="I31" s="117">
        <f t="shared" si="3"/>
        <v>0</v>
      </c>
      <c r="J31" s="122"/>
    </row>
    <row r="32" spans="1:10" s="126" customFormat="1" ht="26.25" customHeight="1" hidden="1">
      <c r="A32" s="127" t="s">
        <v>8</v>
      </c>
      <c r="B32" s="128" t="s">
        <v>279</v>
      </c>
      <c r="C32" s="129">
        <f>C33*C34</f>
        <v>0</v>
      </c>
      <c r="D32" s="117">
        <f t="shared" si="1"/>
        <v>0</v>
      </c>
      <c r="E32" s="129">
        <f>E33*E34</f>
        <v>340.207631865</v>
      </c>
      <c r="F32" s="129">
        <f>F33*F34</f>
        <v>111.963288825</v>
      </c>
      <c r="G32" s="129">
        <f>G33*G34</f>
        <v>228.24434303999996</v>
      </c>
      <c r="H32" s="129">
        <f>H33*H34</f>
        <v>396.90890384249997</v>
      </c>
      <c r="I32" s="117">
        <f t="shared" si="3"/>
        <v>14.34052927012133</v>
      </c>
      <c r="J32" s="122"/>
    </row>
    <row r="33" spans="1:10" s="126" customFormat="1" ht="12.75" hidden="1">
      <c r="A33" s="130"/>
      <c r="B33" s="131" t="s">
        <v>267</v>
      </c>
      <c r="C33" s="125"/>
      <c r="D33" s="117">
        <f t="shared" si="1"/>
        <v>0</v>
      </c>
      <c r="E33" s="125">
        <f>F33+G33</f>
        <v>79.7715</v>
      </c>
      <c r="F33" s="125">
        <f>'[4]эл. энергия '!N20/12*3</f>
        <v>26.5905</v>
      </c>
      <c r="G33" s="125">
        <f>'[4]эл. энергия '!N20/2</f>
        <v>53.181</v>
      </c>
      <c r="H33" s="117">
        <f>(F33/4*6)+G33</f>
        <v>93.06675</v>
      </c>
      <c r="I33" s="117"/>
      <c r="J33" s="122"/>
    </row>
    <row r="34" spans="1:10" s="126" customFormat="1" ht="12.75" hidden="1">
      <c r="A34" s="130"/>
      <c r="B34" s="131" t="s">
        <v>268</v>
      </c>
      <c r="C34" s="125"/>
      <c r="D34" s="117">
        <f t="shared" si="1"/>
        <v>0</v>
      </c>
      <c r="E34" s="125">
        <f>E19</f>
        <v>4.264776666666666</v>
      </c>
      <c r="F34" s="125">
        <f>F19</f>
        <v>4.21065</v>
      </c>
      <c r="G34" s="125">
        <f>G19</f>
        <v>4.29184</v>
      </c>
      <c r="H34" s="117">
        <f>E34</f>
        <v>4.264776666666666</v>
      </c>
      <c r="I34" s="117"/>
      <c r="J34" s="122"/>
    </row>
    <row r="35" spans="1:10" ht="12.75" hidden="1">
      <c r="A35" s="116" t="s">
        <v>9</v>
      </c>
      <c r="B35" s="120" t="s">
        <v>10</v>
      </c>
      <c r="C35" s="125"/>
      <c r="D35" s="117">
        <f t="shared" si="1"/>
        <v>0</v>
      </c>
      <c r="E35" s="125"/>
      <c r="F35" s="125"/>
      <c r="G35" s="125"/>
      <c r="H35" s="117"/>
      <c r="I35" s="117">
        <f t="shared" si="3"/>
        <v>0</v>
      </c>
      <c r="J35" s="122"/>
    </row>
    <row r="36" spans="1:10" ht="12.75" hidden="1">
      <c r="A36" s="116" t="s">
        <v>11</v>
      </c>
      <c r="B36" s="120" t="s">
        <v>280</v>
      </c>
      <c r="C36" s="125"/>
      <c r="D36" s="117">
        <f t="shared" si="1"/>
        <v>0</v>
      </c>
      <c r="E36" s="125"/>
      <c r="F36" s="125"/>
      <c r="G36" s="125"/>
      <c r="H36" s="117"/>
      <c r="I36" s="117">
        <f t="shared" si="3"/>
        <v>0</v>
      </c>
      <c r="J36" s="122"/>
    </row>
    <row r="37" spans="1:10" ht="12.75" hidden="1">
      <c r="A37" s="116" t="s">
        <v>281</v>
      </c>
      <c r="B37" s="120" t="s">
        <v>282</v>
      </c>
      <c r="C37" s="117">
        <f>C38*C39</f>
        <v>0</v>
      </c>
      <c r="D37" s="117">
        <f t="shared" si="1"/>
        <v>0</v>
      </c>
      <c r="E37" s="117">
        <f>E38*E39</f>
        <v>0</v>
      </c>
      <c r="F37" s="117">
        <f>F38*F39</f>
        <v>0</v>
      </c>
      <c r="G37" s="117">
        <f>G38*G39</f>
        <v>0</v>
      </c>
      <c r="H37" s="117"/>
      <c r="I37" s="117">
        <f t="shared" si="3"/>
        <v>0</v>
      </c>
      <c r="J37" s="121"/>
    </row>
    <row r="38" spans="1:10" s="126" customFormat="1" ht="12.75" hidden="1">
      <c r="A38" s="123"/>
      <c r="B38" s="124" t="s">
        <v>283</v>
      </c>
      <c r="C38" s="117"/>
      <c r="D38" s="117">
        <f t="shared" si="1"/>
        <v>0</v>
      </c>
      <c r="E38" s="117"/>
      <c r="F38" s="117"/>
      <c r="G38" s="117"/>
      <c r="H38" s="117"/>
      <c r="I38" s="117">
        <f t="shared" si="3"/>
        <v>0</v>
      </c>
      <c r="J38" s="121"/>
    </row>
    <row r="39" spans="1:10" s="126" customFormat="1" ht="12.75" hidden="1">
      <c r="A39" s="123"/>
      <c r="B39" s="124" t="s">
        <v>284</v>
      </c>
      <c r="C39" s="125"/>
      <c r="D39" s="117">
        <f t="shared" si="1"/>
        <v>0</v>
      </c>
      <c r="E39" s="125"/>
      <c r="F39" s="125"/>
      <c r="G39" s="125"/>
      <c r="H39" s="117"/>
      <c r="I39" s="117">
        <f t="shared" si="3"/>
        <v>0</v>
      </c>
      <c r="J39" s="122"/>
    </row>
    <row r="40" spans="1:10" ht="25.5" hidden="1">
      <c r="A40" s="116" t="s">
        <v>12</v>
      </c>
      <c r="B40" s="120" t="s">
        <v>285</v>
      </c>
      <c r="C40" s="125"/>
      <c r="D40" s="117">
        <f t="shared" si="1"/>
        <v>0</v>
      </c>
      <c r="E40" s="125"/>
      <c r="F40" s="125"/>
      <c r="G40" s="125"/>
      <c r="H40" s="117"/>
      <c r="I40" s="117">
        <f t="shared" si="3"/>
        <v>0</v>
      </c>
      <c r="J40" s="122"/>
    </row>
    <row r="41" spans="1:10" ht="25.5" hidden="1">
      <c r="A41" s="116" t="s">
        <v>13</v>
      </c>
      <c r="B41" s="120" t="s">
        <v>286</v>
      </c>
      <c r="C41" s="117">
        <v>104.293</v>
      </c>
      <c r="D41" s="117">
        <f t="shared" si="1"/>
        <v>78.21975</v>
      </c>
      <c r="E41" s="117">
        <f>F41+G41</f>
        <v>148.32806720382</v>
      </c>
      <c r="F41" s="117">
        <f>'[4]РАСЧЕТ'!D31/12*3</f>
        <v>47.44979757</v>
      </c>
      <c r="G41" s="117">
        <f>'[4]РАСЧЕТ'!D31/12*6*1.063</f>
        <v>100.87826963382</v>
      </c>
      <c r="H41" s="117">
        <f>(F41/4*6)+G41</f>
        <v>172.05296598882</v>
      </c>
      <c r="I41" s="117">
        <f t="shared" si="3"/>
        <v>6.252367054954765</v>
      </c>
      <c r="J41" s="121" t="s">
        <v>287</v>
      </c>
    </row>
    <row r="42" spans="1:10" s="126" customFormat="1" ht="25.5" hidden="1">
      <c r="A42" s="123"/>
      <c r="B42" s="124" t="s">
        <v>288</v>
      </c>
      <c r="C42" s="117">
        <v>0.5</v>
      </c>
      <c r="D42" s="117">
        <f>C42</f>
        <v>0.5</v>
      </c>
      <c r="E42" s="117">
        <f>'[4]РАСЧЕТ'!B31</f>
        <v>0.9</v>
      </c>
      <c r="F42" s="117">
        <f>E42</f>
        <v>0.9</v>
      </c>
      <c r="G42" s="117">
        <f>F42</f>
        <v>0.9</v>
      </c>
      <c r="H42" s="117">
        <f>G42</f>
        <v>0.9</v>
      </c>
      <c r="I42" s="117"/>
      <c r="J42" s="121" t="s">
        <v>289</v>
      </c>
    </row>
    <row r="43" spans="1:10" s="126" customFormat="1" ht="38.25" hidden="1">
      <c r="A43" s="123"/>
      <c r="B43" s="124" t="s">
        <v>14</v>
      </c>
      <c r="C43" s="117">
        <f>4740*1.4</f>
        <v>6636</v>
      </c>
      <c r="D43" s="117">
        <f>C43</f>
        <v>6636</v>
      </c>
      <c r="E43" s="117">
        <f>((F43*4)+(G43*6))/10</f>
        <v>6888.8748879999985</v>
      </c>
      <c r="F43" s="117">
        <f>4741.4*1.4</f>
        <v>6637.959999999999</v>
      </c>
      <c r="G43" s="117">
        <f>F43*1.063</f>
        <v>7056.151479999999</v>
      </c>
      <c r="H43" s="117">
        <f>E43</f>
        <v>6888.8748879999985</v>
      </c>
      <c r="I43" s="117"/>
      <c r="J43" s="121" t="s">
        <v>290</v>
      </c>
    </row>
    <row r="44" spans="1:10" s="126" customFormat="1" ht="12.75" hidden="1">
      <c r="A44" s="123"/>
      <c r="B44" s="124" t="s">
        <v>15</v>
      </c>
      <c r="C44" s="117">
        <v>2</v>
      </c>
      <c r="D44" s="117">
        <f>C44</f>
        <v>2</v>
      </c>
      <c r="E44" s="117">
        <f>F44</f>
        <v>2.5555555555555554</v>
      </c>
      <c r="F44" s="117">
        <f>'[4]РАСЧЕТ'!C31</f>
        <v>2.5555555555555554</v>
      </c>
      <c r="G44" s="117">
        <f>F44</f>
        <v>2.5555555555555554</v>
      </c>
      <c r="H44" s="117">
        <f>G44</f>
        <v>2.5555555555555554</v>
      </c>
      <c r="I44" s="117"/>
      <c r="J44" s="121"/>
    </row>
    <row r="45" spans="1:10" s="126" customFormat="1" ht="12.75" hidden="1">
      <c r="A45" s="123"/>
      <c r="B45" s="124" t="s">
        <v>291</v>
      </c>
      <c r="C45" s="125">
        <f>C41/C42/12*1000</f>
        <v>17382.166666666668</v>
      </c>
      <c r="D45" s="117">
        <f>C45</f>
        <v>17382.166666666668</v>
      </c>
      <c r="E45" s="125">
        <f>E41/E42/10*1000</f>
        <v>16480.89635598</v>
      </c>
      <c r="F45" s="125">
        <f>F41/F42/3*1000</f>
        <v>17573.999099999997</v>
      </c>
      <c r="G45" s="125">
        <f>G41/G42/6*1000</f>
        <v>18681.1610433</v>
      </c>
      <c r="H45" s="125">
        <f>H41/H42/12*1000</f>
        <v>15930.830184149998</v>
      </c>
      <c r="I45" s="117"/>
      <c r="J45" s="121"/>
    </row>
    <row r="46" spans="1:10" ht="12.75" hidden="1">
      <c r="A46" s="116" t="s">
        <v>16</v>
      </c>
      <c r="B46" s="120" t="s">
        <v>292</v>
      </c>
      <c r="C46" s="117">
        <f aca="true" t="shared" si="6" ref="C46:H46">C41*C47/100</f>
        <v>31.496486</v>
      </c>
      <c r="D46" s="117">
        <f t="shared" si="6"/>
        <v>23.6223645</v>
      </c>
      <c r="E46" s="117">
        <f t="shared" si="6"/>
        <v>44.79507629555364</v>
      </c>
      <c r="F46" s="117">
        <f t="shared" si="6"/>
        <v>14.329838866140001</v>
      </c>
      <c r="G46" s="117">
        <f t="shared" si="6"/>
        <v>30.465237429413637</v>
      </c>
      <c r="H46" s="117">
        <f t="shared" si="6"/>
        <v>51.959995728623646</v>
      </c>
      <c r="I46" s="117">
        <f t="shared" si="3"/>
        <v>1.8882148505963388</v>
      </c>
      <c r="J46" s="121"/>
    </row>
    <row r="47" spans="1:10" ht="12.75" hidden="1">
      <c r="A47" s="132"/>
      <c r="B47" s="124" t="s">
        <v>17</v>
      </c>
      <c r="C47" s="125">
        <v>30.2</v>
      </c>
      <c r="D47" s="117">
        <f>C47</f>
        <v>30.2</v>
      </c>
      <c r="E47" s="125">
        <v>30.2</v>
      </c>
      <c r="F47" s="125">
        <v>30.2</v>
      </c>
      <c r="G47" s="125">
        <v>30.2</v>
      </c>
      <c r="H47" s="117">
        <f>G47</f>
        <v>30.2</v>
      </c>
      <c r="I47" s="117"/>
      <c r="J47" s="121"/>
    </row>
    <row r="48" spans="1:10" ht="12.75" hidden="1">
      <c r="A48" s="116" t="s">
        <v>18</v>
      </c>
      <c r="B48" s="120" t="s">
        <v>293</v>
      </c>
      <c r="C48" s="117">
        <f aca="true" t="shared" si="7" ref="C48:H48">C49+C52+C53+C54+C55+C56</f>
        <v>2208.12666</v>
      </c>
      <c r="D48" s="117">
        <f t="shared" si="7"/>
        <v>1656.094995</v>
      </c>
      <c r="E48" s="117">
        <f t="shared" si="7"/>
        <v>1255.4780400415357</v>
      </c>
      <c r="F48" s="117">
        <f t="shared" si="7"/>
        <v>392.21305503568</v>
      </c>
      <c r="G48" s="117">
        <f t="shared" si="7"/>
        <v>863.2649850058557</v>
      </c>
      <c r="H48" s="117">
        <f t="shared" si="7"/>
        <v>1451.5845675593755</v>
      </c>
      <c r="I48" s="117">
        <f t="shared" si="3"/>
        <v>52.92126893953565</v>
      </c>
      <c r="J48" s="121"/>
    </row>
    <row r="49" spans="1:10" ht="17.25" customHeight="1" hidden="1">
      <c r="A49" s="116" t="s">
        <v>294</v>
      </c>
      <c r="B49" s="120" t="s">
        <v>295</v>
      </c>
      <c r="C49" s="117">
        <v>1373.83</v>
      </c>
      <c r="D49" s="117">
        <f t="shared" si="1"/>
        <v>1030.3725</v>
      </c>
      <c r="E49" s="117">
        <f>F49+G49</f>
        <v>897.53187407184</v>
      </c>
      <c r="F49" s="117">
        <f>'[4]РАСЧЕТ'!D41/10*3</f>
        <v>287.11832184</v>
      </c>
      <c r="G49" s="117">
        <f>'[4]РАСЧЕТ'!D41/10*6*1.063</f>
        <v>610.41355223184</v>
      </c>
      <c r="H49" s="117">
        <f>(F49/4*6)+G49</f>
        <v>1041.09103499184</v>
      </c>
      <c r="I49" s="117">
        <f t="shared" si="3"/>
        <v>37.83301991326735</v>
      </c>
      <c r="J49" s="121"/>
    </row>
    <row r="50" spans="1:10" ht="25.5" hidden="1">
      <c r="A50" s="123"/>
      <c r="B50" s="124" t="s">
        <v>296</v>
      </c>
      <c r="C50" s="117">
        <v>5.25</v>
      </c>
      <c r="D50" s="117">
        <f>C50</f>
        <v>5.25</v>
      </c>
      <c r="E50" s="117">
        <f>F50</f>
        <v>5.25</v>
      </c>
      <c r="F50" s="117">
        <f>'[4]РАСЧЕТ'!B41</f>
        <v>5.25</v>
      </c>
      <c r="G50" s="117">
        <f>'[4]РАСЧЕТ'!B41</f>
        <v>5.25</v>
      </c>
      <c r="H50" s="117">
        <f>G50</f>
        <v>5.25</v>
      </c>
      <c r="I50" s="117"/>
      <c r="J50" s="121" t="s">
        <v>297</v>
      </c>
    </row>
    <row r="51" spans="1:10" ht="12.75" hidden="1">
      <c r="A51" s="123"/>
      <c r="B51" s="124" t="s">
        <v>291</v>
      </c>
      <c r="C51" s="125">
        <f>C49/C50/12*1000</f>
        <v>21806.8253968254</v>
      </c>
      <c r="D51" s="117">
        <f>C51</f>
        <v>21806.8253968254</v>
      </c>
      <c r="E51" s="125">
        <f>E49/E50/10*1000</f>
        <v>17095.845220416</v>
      </c>
      <c r="F51" s="125">
        <f>F49/F50/3*1000</f>
        <v>18229.73472</v>
      </c>
      <c r="G51" s="125">
        <f>G49/G50/6*1000</f>
        <v>19378.208007359997</v>
      </c>
      <c r="H51" s="125">
        <f>H49/H50/12*1000</f>
        <v>16525.25452368</v>
      </c>
      <c r="I51" s="117"/>
      <c r="J51" s="121"/>
    </row>
    <row r="52" spans="1:10" ht="12.75" hidden="1">
      <c r="A52" s="116" t="s">
        <v>298</v>
      </c>
      <c r="B52" s="120" t="s">
        <v>292</v>
      </c>
      <c r="C52" s="117">
        <f aca="true" t="shared" si="8" ref="C52:H52">C49*C47/100</f>
        <v>414.89666</v>
      </c>
      <c r="D52" s="117">
        <f t="shared" si="8"/>
        <v>311.17249499999997</v>
      </c>
      <c r="E52" s="117">
        <f t="shared" si="8"/>
        <v>271.0546259696957</v>
      </c>
      <c r="F52" s="117">
        <f t="shared" si="8"/>
        <v>86.70973319568</v>
      </c>
      <c r="G52" s="117">
        <f t="shared" si="8"/>
        <v>184.34489277401568</v>
      </c>
      <c r="H52" s="117">
        <f t="shared" si="8"/>
        <v>314.4094925675356</v>
      </c>
      <c r="I52" s="117">
        <f t="shared" si="3"/>
        <v>11.425572013806741</v>
      </c>
      <c r="J52" s="121"/>
    </row>
    <row r="53" spans="1:10" ht="12.75" hidden="1">
      <c r="A53" s="116" t="s">
        <v>299</v>
      </c>
      <c r="B53" s="120" t="s">
        <v>300</v>
      </c>
      <c r="C53" s="117">
        <v>20</v>
      </c>
      <c r="D53" s="117">
        <f t="shared" si="1"/>
        <v>15</v>
      </c>
      <c r="E53" s="117"/>
      <c r="F53" s="117"/>
      <c r="G53" s="117"/>
      <c r="H53" s="117">
        <f>(F53/4*6)+G53</f>
        <v>0</v>
      </c>
      <c r="I53" s="117">
        <f t="shared" si="3"/>
        <v>0</v>
      </c>
      <c r="J53" s="121"/>
    </row>
    <row r="54" spans="1:10" ht="38.25" hidden="1">
      <c r="A54" s="116" t="s">
        <v>301</v>
      </c>
      <c r="B54" s="120" t="s">
        <v>302</v>
      </c>
      <c r="C54" s="117">
        <v>23.9</v>
      </c>
      <c r="D54" s="117">
        <f t="shared" si="1"/>
        <v>17.924999999999997</v>
      </c>
      <c r="E54" s="117">
        <v>23.89</v>
      </c>
      <c r="F54" s="117">
        <f>E54/2</f>
        <v>11.945</v>
      </c>
      <c r="G54" s="117">
        <f>F54</f>
        <v>11.945</v>
      </c>
      <c r="H54" s="117">
        <f>(F54/4*6)+G54</f>
        <v>29.8625</v>
      </c>
      <c r="I54" s="117">
        <f t="shared" si="3"/>
        <v>1.0070181035772472</v>
      </c>
      <c r="J54" s="121" t="s">
        <v>303</v>
      </c>
    </row>
    <row r="55" spans="1:10" ht="63.75" customHeight="1" hidden="1">
      <c r="A55" s="116" t="s">
        <v>304</v>
      </c>
      <c r="B55" s="120" t="s">
        <v>305</v>
      </c>
      <c r="C55" s="117">
        <v>375.5</v>
      </c>
      <c r="D55" s="117">
        <f t="shared" si="1"/>
        <v>281.625</v>
      </c>
      <c r="E55" s="117">
        <f>58.2641+4.73744</f>
        <v>63.00154</v>
      </c>
      <c r="F55" s="117">
        <v>6.44</v>
      </c>
      <c r="G55" s="117">
        <f>E55-F55</f>
        <v>56.56154</v>
      </c>
      <c r="H55" s="117">
        <f>(F55/4*6)+G55</f>
        <v>66.22154</v>
      </c>
      <c r="I55" s="117">
        <f t="shared" si="3"/>
        <v>2.655658908884307</v>
      </c>
      <c r="J55" s="121" t="s">
        <v>306</v>
      </c>
    </row>
    <row r="56" spans="1:10" s="135" customFormat="1" ht="12.75" hidden="1">
      <c r="A56" s="116" t="s">
        <v>307</v>
      </c>
      <c r="B56" s="120" t="s">
        <v>308</v>
      </c>
      <c r="C56" s="133"/>
      <c r="D56" s="117">
        <f t="shared" si="1"/>
        <v>0</v>
      </c>
      <c r="E56" s="133"/>
      <c r="F56" s="133"/>
      <c r="G56" s="133"/>
      <c r="H56" s="117"/>
      <c r="I56" s="117"/>
      <c r="J56" s="134"/>
    </row>
    <row r="57" spans="1:10" s="135" customFormat="1" ht="12.75" hidden="1">
      <c r="A57" s="116" t="s">
        <v>19</v>
      </c>
      <c r="B57" s="120" t="s">
        <v>309</v>
      </c>
      <c r="C57" s="117"/>
      <c r="D57" s="117">
        <f t="shared" si="1"/>
        <v>0</v>
      </c>
      <c r="E57" s="117">
        <f>E58+E59</f>
        <v>0</v>
      </c>
      <c r="F57" s="117">
        <f>F58+F59</f>
        <v>0</v>
      </c>
      <c r="G57" s="117">
        <f>G58+G59</f>
        <v>0</v>
      </c>
      <c r="H57" s="117"/>
      <c r="I57" s="117"/>
      <c r="J57" s="134"/>
    </row>
    <row r="58" spans="1:10" ht="12.75" hidden="1">
      <c r="A58" s="116" t="s">
        <v>20</v>
      </c>
      <c r="B58" s="120" t="s">
        <v>310</v>
      </c>
      <c r="C58" s="117"/>
      <c r="D58" s="117">
        <f t="shared" si="1"/>
        <v>0</v>
      </c>
      <c r="E58" s="117"/>
      <c r="F58" s="117"/>
      <c r="G58" s="117"/>
      <c r="H58" s="117"/>
      <c r="I58" s="117"/>
      <c r="J58" s="121"/>
    </row>
    <row r="59" spans="1:10" ht="38.25" hidden="1">
      <c r="A59" s="116" t="s">
        <v>21</v>
      </c>
      <c r="B59" s="136" t="s">
        <v>311</v>
      </c>
      <c r="C59" s="117"/>
      <c r="D59" s="117">
        <f t="shared" si="1"/>
        <v>0</v>
      </c>
      <c r="E59" s="117"/>
      <c r="F59" s="117"/>
      <c r="G59" s="117"/>
      <c r="H59" s="117"/>
      <c r="I59" s="117"/>
      <c r="J59" s="121"/>
    </row>
    <row r="60" spans="1:10" ht="38.25" hidden="1">
      <c r="A60" s="117" t="s">
        <v>22</v>
      </c>
      <c r="B60" s="120" t="s">
        <v>312</v>
      </c>
      <c r="C60" s="117">
        <f>C61*C62</f>
        <v>0</v>
      </c>
      <c r="D60" s="117">
        <f t="shared" si="1"/>
        <v>0</v>
      </c>
      <c r="E60" s="117">
        <f>E61*E62</f>
        <v>0</v>
      </c>
      <c r="F60" s="117">
        <f>F61*F62</f>
        <v>0</v>
      </c>
      <c r="G60" s="117">
        <f>G61*G62</f>
        <v>0</v>
      </c>
      <c r="H60" s="117"/>
      <c r="I60" s="117"/>
      <c r="J60" s="121"/>
    </row>
    <row r="61" spans="1:10" ht="12.75" hidden="1">
      <c r="A61" s="125"/>
      <c r="B61" s="124" t="s">
        <v>313</v>
      </c>
      <c r="C61" s="117"/>
      <c r="D61" s="117">
        <f t="shared" si="1"/>
        <v>0</v>
      </c>
      <c r="E61" s="117"/>
      <c r="F61" s="117"/>
      <c r="G61" s="117"/>
      <c r="H61" s="117"/>
      <c r="I61" s="117"/>
      <c r="J61" s="121"/>
    </row>
    <row r="62" spans="1:10" ht="12.75" hidden="1">
      <c r="A62" s="125"/>
      <c r="B62" s="124" t="s">
        <v>314</v>
      </c>
      <c r="C62" s="117"/>
      <c r="D62" s="117">
        <f t="shared" si="1"/>
        <v>0</v>
      </c>
      <c r="E62" s="117"/>
      <c r="F62" s="117"/>
      <c r="G62" s="117"/>
      <c r="H62" s="117"/>
      <c r="I62" s="117"/>
      <c r="J62" s="121"/>
    </row>
    <row r="63" spans="1:10" ht="12.75">
      <c r="A63" s="116">
        <v>2</v>
      </c>
      <c r="B63" s="120" t="s">
        <v>23</v>
      </c>
      <c r="C63" s="117">
        <f aca="true" t="shared" si="9" ref="C63:H63">C64+C67+C69+C70+C74+C75</f>
        <v>1647.90968</v>
      </c>
      <c r="D63" s="117">
        <f t="shared" si="9"/>
        <v>1235.93226</v>
      </c>
      <c r="E63" s="117">
        <f t="shared" si="9"/>
        <v>299.00349960488484</v>
      </c>
      <c r="F63" s="117">
        <f t="shared" si="9"/>
        <v>95.65051170981599</v>
      </c>
      <c r="G63" s="117">
        <f t="shared" si="9"/>
        <v>203.3529878950688</v>
      </c>
      <c r="H63" s="117">
        <f t="shared" si="9"/>
        <v>346.8287554597928</v>
      </c>
      <c r="I63" s="117">
        <f t="shared" si="3"/>
        <v>12.603680918169582</v>
      </c>
      <c r="J63" s="121"/>
    </row>
    <row r="64" spans="1:10" ht="25.5" hidden="1">
      <c r="A64" s="116" t="s">
        <v>24</v>
      </c>
      <c r="B64" s="120" t="s">
        <v>315</v>
      </c>
      <c r="C64" s="117">
        <f>C65+C66</f>
        <v>0</v>
      </c>
      <c r="D64" s="117">
        <f t="shared" si="1"/>
        <v>0</v>
      </c>
      <c r="E64" s="117">
        <f>E65+E66</f>
        <v>0</v>
      </c>
      <c r="F64" s="117">
        <f>F65+F66</f>
        <v>0</v>
      </c>
      <c r="G64" s="117">
        <f>G65+G66</f>
        <v>0</v>
      </c>
      <c r="H64" s="117">
        <f aca="true" t="shared" si="10" ref="H64:H70">(F64/4*6)+G64</f>
        <v>0</v>
      </c>
      <c r="I64" s="117"/>
      <c r="J64" s="121"/>
    </row>
    <row r="65" spans="1:10" ht="25.5" hidden="1">
      <c r="A65" s="116" t="s">
        <v>25</v>
      </c>
      <c r="B65" s="137" t="s">
        <v>316</v>
      </c>
      <c r="C65" s="125"/>
      <c r="D65" s="117">
        <f t="shared" si="1"/>
        <v>0</v>
      </c>
      <c r="E65" s="125"/>
      <c r="F65" s="125"/>
      <c r="G65" s="125"/>
      <c r="H65" s="117">
        <f t="shared" si="10"/>
        <v>0</v>
      </c>
      <c r="I65" s="117"/>
      <c r="J65" s="122"/>
    </row>
    <row r="66" spans="1:10" ht="12.75" hidden="1">
      <c r="A66" s="116" t="s">
        <v>26</v>
      </c>
      <c r="B66" s="137" t="s">
        <v>317</v>
      </c>
      <c r="C66" s="125"/>
      <c r="D66" s="117">
        <f t="shared" si="1"/>
        <v>0</v>
      </c>
      <c r="E66" s="125"/>
      <c r="F66" s="125"/>
      <c r="G66" s="125"/>
      <c r="H66" s="117">
        <f t="shared" si="10"/>
        <v>0</v>
      </c>
      <c r="I66" s="117"/>
      <c r="J66" s="122"/>
    </row>
    <row r="67" spans="1:10" ht="48.75" customHeight="1" hidden="1">
      <c r="A67" s="116" t="s">
        <v>27</v>
      </c>
      <c r="B67" s="120" t="s">
        <v>318</v>
      </c>
      <c r="C67" s="125"/>
      <c r="D67" s="117">
        <f t="shared" si="1"/>
        <v>0</v>
      </c>
      <c r="E67" s="125"/>
      <c r="F67" s="125"/>
      <c r="G67" s="125"/>
      <c r="H67" s="117">
        <f t="shared" si="10"/>
        <v>0</v>
      </c>
      <c r="I67" s="117"/>
      <c r="J67" s="122"/>
    </row>
    <row r="68" spans="1:10" ht="16.5" customHeight="1" hidden="1">
      <c r="A68" s="116" t="s">
        <v>28</v>
      </c>
      <c r="B68" s="120" t="s">
        <v>319</v>
      </c>
      <c r="C68" s="125"/>
      <c r="D68" s="117">
        <f t="shared" si="1"/>
        <v>0</v>
      </c>
      <c r="E68" s="125"/>
      <c r="F68" s="125"/>
      <c r="G68" s="125"/>
      <c r="H68" s="117">
        <f t="shared" si="10"/>
        <v>0</v>
      </c>
      <c r="I68" s="117"/>
      <c r="J68" s="122"/>
    </row>
    <row r="69" spans="1:10" ht="12.75" hidden="1">
      <c r="A69" s="116" t="s">
        <v>29</v>
      </c>
      <c r="B69" s="120" t="s">
        <v>320</v>
      </c>
      <c r="C69" s="117">
        <v>685.04</v>
      </c>
      <c r="D69" s="117">
        <f t="shared" si="1"/>
        <v>513.78</v>
      </c>
      <c r="E69" s="117"/>
      <c r="F69" s="117"/>
      <c r="G69" s="117"/>
      <c r="H69" s="117">
        <f t="shared" si="10"/>
        <v>0</v>
      </c>
      <c r="I69" s="117">
        <f t="shared" si="3"/>
        <v>0</v>
      </c>
      <c r="J69" s="121" t="s">
        <v>321</v>
      </c>
    </row>
    <row r="70" spans="1:10" ht="12.75" hidden="1">
      <c r="A70" s="116" t="s">
        <v>30</v>
      </c>
      <c r="B70" s="120" t="s">
        <v>322</v>
      </c>
      <c r="C70" s="117">
        <v>528.84</v>
      </c>
      <c r="D70" s="117">
        <f t="shared" si="1"/>
        <v>396.63</v>
      </c>
      <c r="E70" s="117">
        <f>F70+G70</f>
        <v>229.649385257208</v>
      </c>
      <c r="F70" s="117">
        <f>'[4]РАСЧЕТ'!D36/12*3</f>
        <v>73.464294708</v>
      </c>
      <c r="G70" s="117">
        <f>'[4]РАСЧЕТ'!D36/12*6*1.063</f>
        <v>156.18509054920798</v>
      </c>
      <c r="H70" s="117">
        <f t="shared" si="10"/>
        <v>266.38153261120794</v>
      </c>
      <c r="I70" s="117">
        <f t="shared" si="3"/>
        <v>9.680246480929018</v>
      </c>
      <c r="J70" s="121"/>
    </row>
    <row r="71" spans="1:10" s="126" customFormat="1" ht="38.25" hidden="1">
      <c r="A71" s="123"/>
      <c r="B71" s="124" t="s">
        <v>31</v>
      </c>
      <c r="C71" s="117">
        <v>2</v>
      </c>
      <c r="D71" s="117">
        <f>C71</f>
        <v>2</v>
      </c>
      <c r="E71" s="117">
        <f>'[4]РАСЧЕТ'!B36</f>
        <v>1.5</v>
      </c>
      <c r="F71" s="117">
        <f aca="true" t="shared" si="11" ref="F71:H72">E71</f>
        <v>1.5</v>
      </c>
      <c r="G71" s="117">
        <f t="shared" si="11"/>
        <v>1.5</v>
      </c>
      <c r="H71" s="117">
        <f t="shared" si="11"/>
        <v>1.5</v>
      </c>
      <c r="I71" s="117"/>
      <c r="J71" s="121" t="s">
        <v>323</v>
      </c>
    </row>
    <row r="72" spans="1:10" s="126" customFormat="1" ht="12.75" hidden="1">
      <c r="A72" s="123"/>
      <c r="B72" s="124" t="s">
        <v>15</v>
      </c>
      <c r="C72" s="125">
        <v>2</v>
      </c>
      <c r="D72" s="117">
        <f>C72</f>
        <v>2</v>
      </c>
      <c r="E72" s="125">
        <f>'[4]РАСЧЕТ'!C36</f>
        <v>1.6666666666666667</v>
      </c>
      <c r="F72" s="125">
        <f t="shared" si="11"/>
        <v>1.6666666666666667</v>
      </c>
      <c r="G72" s="125">
        <f t="shared" si="11"/>
        <v>1.6666666666666667</v>
      </c>
      <c r="H72" s="117">
        <f t="shared" si="11"/>
        <v>1.6666666666666667</v>
      </c>
      <c r="I72" s="117"/>
      <c r="J72" s="122"/>
    </row>
    <row r="73" spans="1:10" s="126" customFormat="1" ht="12.75" hidden="1">
      <c r="A73" s="123"/>
      <c r="B73" s="124" t="s">
        <v>291</v>
      </c>
      <c r="C73" s="125">
        <f>C70/C71/12*1000</f>
        <v>22035</v>
      </c>
      <c r="D73" s="117">
        <f>C73</f>
        <v>22035</v>
      </c>
      <c r="E73" s="125">
        <f>E70/E71/10*1000</f>
        <v>15309.9590171472</v>
      </c>
      <c r="F73" s="125">
        <f>F70/F71/3*1000</f>
        <v>16325.398824</v>
      </c>
      <c r="G73" s="125">
        <f>G70/G71/6*1000</f>
        <v>17353.898949911996</v>
      </c>
      <c r="H73" s="125">
        <f>H70/H71/12*1000</f>
        <v>14798.974033955998</v>
      </c>
      <c r="I73" s="117"/>
      <c r="J73" s="122"/>
    </row>
    <row r="74" spans="1:10" ht="12.75" hidden="1">
      <c r="A74" s="138" t="s">
        <v>32</v>
      </c>
      <c r="B74" s="120" t="s">
        <v>292</v>
      </c>
      <c r="C74" s="117">
        <f aca="true" t="shared" si="12" ref="C74:H74">C70*C47/100</f>
        <v>159.70968000000002</v>
      </c>
      <c r="D74" s="117">
        <f t="shared" si="12"/>
        <v>119.78226</v>
      </c>
      <c r="E74" s="117">
        <f t="shared" si="12"/>
        <v>69.35411434767681</v>
      </c>
      <c r="F74" s="117">
        <f t="shared" si="12"/>
        <v>22.186217001815997</v>
      </c>
      <c r="G74" s="117">
        <f t="shared" si="12"/>
        <v>47.16789734586081</v>
      </c>
      <c r="H74" s="117">
        <f t="shared" si="12"/>
        <v>80.4472228485848</v>
      </c>
      <c r="I74" s="117">
        <f t="shared" si="3"/>
        <v>2.9234344372405636</v>
      </c>
      <c r="J74" s="121"/>
    </row>
    <row r="75" spans="1:10" ht="25.5" hidden="1">
      <c r="A75" s="138" t="s">
        <v>324</v>
      </c>
      <c r="B75" s="120" t="s">
        <v>325</v>
      </c>
      <c r="C75" s="117">
        <v>274.32</v>
      </c>
      <c r="D75" s="117">
        <f t="shared" si="1"/>
        <v>205.74</v>
      </c>
      <c r="E75" s="117">
        <v>0</v>
      </c>
      <c r="F75" s="117">
        <v>0</v>
      </c>
      <c r="G75" s="117">
        <v>0</v>
      </c>
      <c r="H75" s="117"/>
      <c r="I75" s="117">
        <f t="shared" si="3"/>
        <v>0</v>
      </c>
      <c r="J75" s="121" t="s">
        <v>326</v>
      </c>
    </row>
    <row r="76" spans="1:10" ht="29.25" customHeight="1">
      <c r="A76" s="116">
        <v>3</v>
      </c>
      <c r="B76" s="168" t="s">
        <v>327</v>
      </c>
      <c r="C76" s="117">
        <f aca="true" t="shared" si="13" ref="C76:H76">C77+C80+C81</f>
        <v>620.6511599999999</v>
      </c>
      <c r="D76" s="117">
        <f t="shared" si="13"/>
        <v>465.48837000000003</v>
      </c>
      <c r="E76" s="117">
        <f t="shared" si="13"/>
        <v>140.21170022505362</v>
      </c>
      <c r="F76" s="117">
        <f t="shared" si="13"/>
        <v>44.86227998566142</v>
      </c>
      <c r="G76" s="117">
        <f t="shared" si="13"/>
        <v>95.34942023939222</v>
      </c>
      <c r="H76" s="117">
        <f t="shared" si="13"/>
        <v>162.64284021788436</v>
      </c>
      <c r="I76" s="117">
        <f t="shared" si="3"/>
        <v>5.910243635829845</v>
      </c>
      <c r="J76" s="121"/>
    </row>
    <row r="77" spans="1:10" ht="25.5" hidden="1">
      <c r="A77" s="116" t="s">
        <v>33</v>
      </c>
      <c r="B77" s="120" t="s">
        <v>328</v>
      </c>
      <c r="C77" s="117">
        <v>468.58</v>
      </c>
      <c r="D77" s="117">
        <f t="shared" si="1"/>
        <v>351.435</v>
      </c>
      <c r="E77" s="117">
        <f>F77+G77</f>
        <v>104.00446221990828</v>
      </c>
      <c r="F77" s="117">
        <f>'[4]РАСЧЕТ'!D61/12*3</f>
        <v>33.270781260367336</v>
      </c>
      <c r="G77" s="117">
        <f>'[4]РАСЧЕТ'!D61/12*6*1.063</f>
        <v>70.73368095954095</v>
      </c>
      <c r="H77" s="117">
        <f>(F77/4*6)+G77</f>
        <v>120.63985285009196</v>
      </c>
      <c r="I77" s="117">
        <f t="shared" si="3"/>
        <v>4.384025797750669</v>
      </c>
      <c r="J77" s="121"/>
    </row>
    <row r="78" spans="1:10" s="126" customFormat="1" ht="25.5" hidden="1">
      <c r="A78" s="123"/>
      <c r="B78" s="124" t="s">
        <v>329</v>
      </c>
      <c r="C78" s="117">
        <v>2</v>
      </c>
      <c r="D78" s="117">
        <f>C78</f>
        <v>2</v>
      </c>
      <c r="E78" s="117">
        <f>'[4]РАСЧЕТ'!D62</f>
        <v>0.6431374347636306</v>
      </c>
      <c r="F78" s="117">
        <f>E78</f>
        <v>0.6431374347636306</v>
      </c>
      <c r="G78" s="117">
        <f>F78</f>
        <v>0.6431374347636306</v>
      </c>
      <c r="H78" s="117">
        <f>G78</f>
        <v>0.6431374347636306</v>
      </c>
      <c r="I78" s="117"/>
      <c r="J78" s="121"/>
    </row>
    <row r="79" spans="1:10" s="126" customFormat="1" ht="12.75" hidden="1">
      <c r="A79" s="123"/>
      <c r="B79" s="124" t="s">
        <v>291</v>
      </c>
      <c r="C79" s="125">
        <f>C77/C78/12*1000</f>
        <v>19524.166666666664</v>
      </c>
      <c r="D79" s="117">
        <f>C79</f>
        <v>19524.166666666664</v>
      </c>
      <c r="E79" s="125">
        <f>E77/E78/10*1000</f>
        <v>16171.42100554799</v>
      </c>
      <c r="F79" s="125">
        <f>F77/F78/3*1000</f>
        <v>17243.997659999994</v>
      </c>
      <c r="G79" s="125">
        <f>G77/G78/6*1000</f>
        <v>18330.369512579993</v>
      </c>
      <c r="H79" s="117">
        <f>E79</f>
        <v>16171.42100554799</v>
      </c>
      <c r="I79" s="117"/>
      <c r="J79" s="121"/>
    </row>
    <row r="80" spans="1:10" ht="12.75" hidden="1">
      <c r="A80" s="116" t="s">
        <v>34</v>
      </c>
      <c r="B80" s="120" t="s">
        <v>292</v>
      </c>
      <c r="C80" s="117">
        <f aca="true" t="shared" si="14" ref="C80:H80">C77*C47/100</f>
        <v>141.51116</v>
      </c>
      <c r="D80" s="117">
        <f t="shared" si="14"/>
        <v>106.13337</v>
      </c>
      <c r="E80" s="117">
        <f t="shared" si="14"/>
        <v>31.4093475904123</v>
      </c>
      <c r="F80" s="117">
        <f t="shared" si="14"/>
        <v>10.047775940630935</v>
      </c>
      <c r="G80" s="117">
        <f t="shared" si="14"/>
        <v>21.361571649781368</v>
      </c>
      <c r="H80" s="117">
        <f t="shared" si="14"/>
        <v>36.43323556072777</v>
      </c>
      <c r="I80" s="117">
        <f>E80/$E$92*100</f>
        <v>1.3239757909207022</v>
      </c>
      <c r="J80" s="121"/>
    </row>
    <row r="81" spans="1:10" ht="12.75" hidden="1">
      <c r="A81" s="116" t="s">
        <v>35</v>
      </c>
      <c r="B81" s="120" t="s">
        <v>330</v>
      </c>
      <c r="C81" s="117">
        <v>10.56</v>
      </c>
      <c r="D81" s="117">
        <f aca="true" t="shared" si="15" ref="D81:D105">C81/12*9</f>
        <v>7.92</v>
      </c>
      <c r="E81" s="117">
        <f>F81+G81</f>
        <v>4.797890414733047</v>
      </c>
      <c r="F81" s="117">
        <f>'[4]РАСЧЕТ'!D63/12*3</f>
        <v>1.5437227846631423</v>
      </c>
      <c r="G81" s="117">
        <f>'[4]РАСЧЕТ'!D63/12*6*1.054</f>
        <v>3.254167630069904</v>
      </c>
      <c r="H81" s="117">
        <f aca="true" t="shared" si="16" ref="H81:H105">(F81/4*6)+G81</f>
        <v>5.569751807064618</v>
      </c>
      <c r="I81" s="117">
        <f>E81/$E$92*100</f>
        <v>0.20224204715847321</v>
      </c>
      <c r="J81" s="121"/>
    </row>
    <row r="82" spans="1:10" ht="13.5" customHeight="1">
      <c r="A82" s="116">
        <v>4</v>
      </c>
      <c r="B82" s="120" t="s">
        <v>36</v>
      </c>
      <c r="C82" s="129">
        <v>282.131</v>
      </c>
      <c r="D82" s="117">
        <f t="shared" si="15"/>
        <v>211.59824999999998</v>
      </c>
      <c r="E82" s="117">
        <v>0</v>
      </c>
      <c r="F82" s="117">
        <v>0</v>
      </c>
      <c r="G82" s="117">
        <v>0</v>
      </c>
      <c r="H82" s="117">
        <f t="shared" si="16"/>
        <v>0</v>
      </c>
      <c r="I82" s="117"/>
      <c r="J82" s="121" t="s">
        <v>331</v>
      </c>
    </row>
    <row r="83" spans="1:10" ht="25.5">
      <c r="A83" s="116">
        <v>5</v>
      </c>
      <c r="B83" s="120" t="s">
        <v>37</v>
      </c>
      <c r="C83" s="117">
        <v>0</v>
      </c>
      <c r="D83" s="117">
        <f t="shared" si="15"/>
        <v>0</v>
      </c>
      <c r="E83" s="117">
        <v>0</v>
      </c>
      <c r="F83" s="117">
        <v>0</v>
      </c>
      <c r="G83" s="117">
        <v>0</v>
      </c>
      <c r="H83" s="117">
        <f t="shared" si="16"/>
        <v>0</v>
      </c>
      <c r="I83" s="117"/>
      <c r="J83" s="139"/>
    </row>
    <row r="84" spans="1:10" ht="15" customHeight="1">
      <c r="A84" s="116">
        <v>6</v>
      </c>
      <c r="B84" s="120" t="s">
        <v>332</v>
      </c>
      <c r="C84" s="117">
        <f aca="true" t="shared" si="17" ref="C84:H84">C85+C86+C87</f>
        <v>176.344</v>
      </c>
      <c r="D84" s="117">
        <f t="shared" si="17"/>
        <v>132.25799999999998</v>
      </c>
      <c r="E84" s="117">
        <f t="shared" si="17"/>
        <v>132.2584275</v>
      </c>
      <c r="F84" s="117">
        <f t="shared" si="17"/>
        <v>50.512</v>
      </c>
      <c r="G84" s="117">
        <f t="shared" si="17"/>
        <v>73.48</v>
      </c>
      <c r="H84" s="117">
        <f t="shared" si="17"/>
        <v>149.248</v>
      </c>
      <c r="I84" s="117">
        <f>E84/$E$92*100</f>
        <v>5.574995012271196</v>
      </c>
      <c r="J84" s="121"/>
    </row>
    <row r="85" spans="1:10" ht="12.75" hidden="1">
      <c r="A85" s="116" t="s">
        <v>38</v>
      </c>
      <c r="B85" s="120" t="s">
        <v>39</v>
      </c>
      <c r="C85" s="117">
        <v>176.344</v>
      </c>
      <c r="D85" s="117">
        <f t="shared" si="15"/>
        <v>132.25799999999998</v>
      </c>
      <c r="E85" s="117">
        <f>'[4]РАСЧЕТ'!B4/12*9</f>
        <v>132.2584275</v>
      </c>
      <c r="F85" s="117">
        <v>50.512</v>
      </c>
      <c r="G85" s="117">
        <v>73.48</v>
      </c>
      <c r="H85" s="117">
        <f t="shared" si="16"/>
        <v>149.248</v>
      </c>
      <c r="I85" s="117">
        <f>E85/$E$92*100</f>
        <v>5.574995012271196</v>
      </c>
      <c r="J85" s="121"/>
    </row>
    <row r="86" spans="1:10" ht="12.75" hidden="1">
      <c r="A86" s="116" t="s">
        <v>40</v>
      </c>
      <c r="B86" s="120" t="s">
        <v>41</v>
      </c>
      <c r="C86" s="117"/>
      <c r="D86" s="117">
        <f t="shared" si="15"/>
        <v>0</v>
      </c>
      <c r="E86" s="117"/>
      <c r="F86" s="117"/>
      <c r="G86" s="117"/>
      <c r="H86" s="117">
        <f t="shared" si="16"/>
        <v>0</v>
      </c>
      <c r="I86" s="117"/>
      <c r="J86" s="121"/>
    </row>
    <row r="87" spans="1:10" ht="25.5" hidden="1">
      <c r="A87" s="116" t="s">
        <v>42</v>
      </c>
      <c r="B87" s="137" t="s">
        <v>333</v>
      </c>
      <c r="C87" s="117"/>
      <c r="D87" s="117">
        <f t="shared" si="15"/>
        <v>0</v>
      </c>
      <c r="E87" s="117"/>
      <c r="F87" s="117"/>
      <c r="G87" s="117"/>
      <c r="H87" s="117"/>
      <c r="I87" s="117"/>
      <c r="J87" s="121"/>
    </row>
    <row r="88" spans="1:10" ht="12.75">
      <c r="A88" s="116">
        <v>7</v>
      </c>
      <c r="B88" s="120" t="s">
        <v>334</v>
      </c>
      <c r="C88" s="117">
        <f>C89+C90+C91</f>
        <v>0</v>
      </c>
      <c r="D88" s="117">
        <f t="shared" si="15"/>
        <v>0</v>
      </c>
      <c r="E88" s="117">
        <f>E89+E90+E91</f>
        <v>0</v>
      </c>
      <c r="F88" s="117">
        <f>F89+F90+F91</f>
        <v>0</v>
      </c>
      <c r="G88" s="117">
        <f>G89+G90+G91</f>
        <v>0</v>
      </c>
      <c r="H88" s="117">
        <f t="shared" si="16"/>
        <v>0</v>
      </c>
      <c r="I88" s="117">
        <f>E88/$E$92*100</f>
        <v>0</v>
      </c>
      <c r="J88" s="121"/>
    </row>
    <row r="89" spans="1:10" ht="25.5" hidden="1">
      <c r="A89" s="116" t="s">
        <v>43</v>
      </c>
      <c r="B89" s="137" t="s">
        <v>335</v>
      </c>
      <c r="C89" s="117"/>
      <c r="D89" s="117">
        <f t="shared" si="15"/>
        <v>0</v>
      </c>
      <c r="E89" s="117"/>
      <c r="F89" s="117"/>
      <c r="G89" s="117"/>
      <c r="H89" s="117">
        <f t="shared" si="16"/>
        <v>0</v>
      </c>
      <c r="I89" s="117"/>
      <c r="J89" s="121"/>
    </row>
    <row r="90" spans="1:10" ht="12.75" hidden="1">
      <c r="A90" s="116" t="s">
        <v>44</v>
      </c>
      <c r="B90" s="140" t="s">
        <v>45</v>
      </c>
      <c r="C90" s="117"/>
      <c r="D90" s="117">
        <f t="shared" si="15"/>
        <v>0</v>
      </c>
      <c r="E90" s="117"/>
      <c r="F90" s="117"/>
      <c r="G90" s="117"/>
      <c r="H90" s="117">
        <f t="shared" si="16"/>
        <v>0</v>
      </c>
      <c r="I90" s="117"/>
      <c r="J90" s="121"/>
    </row>
    <row r="91" spans="1:10" ht="12.75" hidden="1">
      <c r="A91" s="141" t="s">
        <v>336</v>
      </c>
      <c r="B91" s="142" t="s">
        <v>46</v>
      </c>
      <c r="C91" s="117"/>
      <c r="D91" s="117">
        <f t="shared" si="15"/>
        <v>0</v>
      </c>
      <c r="E91" s="117"/>
      <c r="F91" s="117"/>
      <c r="G91" s="117"/>
      <c r="H91" s="117">
        <f t="shared" si="16"/>
        <v>0</v>
      </c>
      <c r="I91" s="117"/>
      <c r="J91" s="121"/>
    </row>
    <row r="92" spans="1:10" s="144" customFormat="1" ht="12.75">
      <c r="A92" s="116">
        <v>8</v>
      </c>
      <c r="B92" s="120" t="s">
        <v>47</v>
      </c>
      <c r="C92" s="117">
        <f aca="true" t="shared" si="18" ref="C92:H92">C13+C63+C76+C82+C83+C84+C88</f>
        <v>5606.881831999999</v>
      </c>
      <c r="D92" s="117">
        <f t="shared" si="18"/>
        <v>4205.161374</v>
      </c>
      <c r="E92" s="117">
        <f t="shared" si="18"/>
        <v>2372.350597783213</v>
      </c>
      <c r="F92" s="117">
        <f t="shared" si="18"/>
        <v>760.9524357722835</v>
      </c>
      <c r="G92" s="117">
        <f t="shared" si="18"/>
        <v>1603.1317345109294</v>
      </c>
      <c r="H92" s="117">
        <f t="shared" si="18"/>
        <v>2745.3055430189224</v>
      </c>
      <c r="I92" s="117">
        <f>E92/$E$92*100</f>
        <v>100</v>
      </c>
      <c r="J92" s="143"/>
    </row>
    <row r="93" spans="1:10" s="144" customFormat="1" ht="12.75">
      <c r="A93" s="116"/>
      <c r="B93" s="120" t="s">
        <v>337</v>
      </c>
      <c r="C93" s="117">
        <f aca="true" t="shared" si="19" ref="C93:H93">C94/C92*100</f>
        <v>3.0922891759635007</v>
      </c>
      <c r="D93" s="117">
        <f t="shared" si="19"/>
        <v>3.0922891759635003</v>
      </c>
      <c r="E93" s="117">
        <f t="shared" si="19"/>
        <v>3.0097</v>
      </c>
      <c r="F93" s="117">
        <f t="shared" si="19"/>
        <v>3.0096999999999996</v>
      </c>
      <c r="G93" s="117">
        <f t="shared" si="19"/>
        <v>3.0097</v>
      </c>
      <c r="H93" s="117">
        <f t="shared" si="19"/>
        <v>3.008883080893692</v>
      </c>
      <c r="I93" s="117"/>
      <c r="J93" s="143"/>
    </row>
    <row r="94" spans="1:10" ht="12.75">
      <c r="A94" s="116">
        <v>9</v>
      </c>
      <c r="B94" s="120" t="s">
        <v>48</v>
      </c>
      <c r="C94" s="117">
        <f aca="true" t="shared" si="20" ref="C94:H94">C95+C96+C97+C98+C99</f>
        <v>173.381</v>
      </c>
      <c r="D94" s="117">
        <f t="shared" si="20"/>
        <v>130.03575</v>
      </c>
      <c r="E94" s="117">
        <f t="shared" si="20"/>
        <v>71.40063594148135</v>
      </c>
      <c r="F94" s="117">
        <f t="shared" si="20"/>
        <v>22.902385459438413</v>
      </c>
      <c r="G94" s="117">
        <f t="shared" si="20"/>
        <v>48.24945581357544</v>
      </c>
      <c r="H94" s="117">
        <f t="shared" si="20"/>
        <v>82.60303400273305</v>
      </c>
      <c r="I94" s="117"/>
      <c r="J94" s="143"/>
    </row>
    <row r="95" spans="1:10" ht="15" customHeight="1" hidden="1">
      <c r="A95" s="116" t="s">
        <v>49</v>
      </c>
      <c r="B95" s="120" t="s">
        <v>338</v>
      </c>
      <c r="C95" s="117"/>
      <c r="D95" s="117">
        <f t="shared" si="15"/>
        <v>0</v>
      </c>
      <c r="E95" s="117"/>
      <c r="F95" s="117"/>
      <c r="G95" s="117"/>
      <c r="H95" s="117"/>
      <c r="I95" s="117"/>
      <c r="J95" s="139"/>
    </row>
    <row r="96" spans="1:10" ht="13.5" customHeight="1" hidden="1">
      <c r="A96" s="116" t="s">
        <v>50</v>
      </c>
      <c r="B96" s="145" t="s">
        <v>339</v>
      </c>
      <c r="C96" s="117"/>
      <c r="D96" s="117">
        <f t="shared" si="15"/>
        <v>0</v>
      </c>
      <c r="E96" s="117"/>
      <c r="F96" s="117"/>
      <c r="G96" s="117"/>
      <c r="H96" s="117"/>
      <c r="I96" s="117"/>
      <c r="J96" s="139"/>
    </row>
    <row r="97" spans="1:10" ht="12.75" hidden="1">
      <c r="A97" s="138" t="s">
        <v>51</v>
      </c>
      <c r="B97" s="145" t="s">
        <v>340</v>
      </c>
      <c r="C97" s="117"/>
      <c r="D97" s="117">
        <f t="shared" si="15"/>
        <v>0</v>
      </c>
      <c r="E97" s="117"/>
      <c r="F97" s="117"/>
      <c r="G97" s="117"/>
      <c r="H97" s="117"/>
      <c r="I97" s="117"/>
      <c r="J97" s="121"/>
    </row>
    <row r="98" spans="1:10" ht="12.75" hidden="1">
      <c r="A98" s="116" t="s">
        <v>52</v>
      </c>
      <c r="B98" s="145" t="s">
        <v>341</v>
      </c>
      <c r="C98" s="117"/>
      <c r="D98" s="117">
        <f t="shared" si="15"/>
        <v>0</v>
      </c>
      <c r="E98" s="117"/>
      <c r="F98" s="117"/>
      <c r="G98" s="117"/>
      <c r="H98" s="117"/>
      <c r="I98" s="117"/>
      <c r="J98" s="121"/>
    </row>
    <row r="99" spans="1:10" ht="12.75" hidden="1">
      <c r="A99" s="116" t="s">
        <v>53</v>
      </c>
      <c r="B99" s="145" t="s">
        <v>342</v>
      </c>
      <c r="C99" s="146">
        <f>C100+C101</f>
        <v>173.381</v>
      </c>
      <c r="D99" s="117">
        <f t="shared" si="15"/>
        <v>130.03575</v>
      </c>
      <c r="E99" s="146">
        <f>E100+E101</f>
        <v>71.40063594148135</v>
      </c>
      <c r="F99" s="146">
        <f>F100+F101</f>
        <v>22.902385459438413</v>
      </c>
      <c r="G99" s="146">
        <f>G100+G101</f>
        <v>48.24945581357544</v>
      </c>
      <c r="H99" s="117">
        <f t="shared" si="16"/>
        <v>82.60303400273305</v>
      </c>
      <c r="I99" s="117"/>
      <c r="J99" s="121"/>
    </row>
    <row r="100" spans="1:10" ht="12.75" hidden="1">
      <c r="A100" s="147" t="s">
        <v>54</v>
      </c>
      <c r="B100" s="145" t="s">
        <v>55</v>
      </c>
      <c r="C100" s="117"/>
      <c r="D100" s="117">
        <f t="shared" si="15"/>
        <v>0</v>
      </c>
      <c r="E100" s="117"/>
      <c r="F100" s="117"/>
      <c r="G100" s="117"/>
      <c r="H100" s="117"/>
      <c r="I100" s="117"/>
      <c r="J100" s="121"/>
    </row>
    <row r="101" spans="1:10" ht="38.25" hidden="1">
      <c r="A101" s="147" t="s">
        <v>343</v>
      </c>
      <c r="B101" s="145" t="s">
        <v>344</v>
      </c>
      <c r="C101" s="117">
        <v>173.381</v>
      </c>
      <c r="D101" s="117">
        <f t="shared" si="15"/>
        <v>130.03575</v>
      </c>
      <c r="E101" s="117">
        <f>E92*0.030097</f>
        <v>71.40063594148135</v>
      </c>
      <c r="F101" s="117">
        <f>F92*0.030097</f>
        <v>22.902385459438413</v>
      </c>
      <c r="G101" s="117">
        <f>G92*0.030097</f>
        <v>48.24945581357544</v>
      </c>
      <c r="H101" s="117">
        <f>H92*0.030097</f>
        <v>82.6254609282405</v>
      </c>
      <c r="I101" s="117"/>
      <c r="J101" s="148">
        <v>0.03</v>
      </c>
    </row>
    <row r="102" spans="1:10" s="144" customFormat="1" ht="12.75">
      <c r="A102" s="116">
        <v>10</v>
      </c>
      <c r="B102" s="120" t="s">
        <v>56</v>
      </c>
      <c r="C102" s="117">
        <f aca="true" t="shared" si="21" ref="C102:H102">C94+C92</f>
        <v>5780.262831999999</v>
      </c>
      <c r="D102" s="117">
        <f t="shared" si="21"/>
        <v>4335.197124</v>
      </c>
      <c r="E102" s="117">
        <f t="shared" si="21"/>
        <v>2443.751233724694</v>
      </c>
      <c r="F102" s="117">
        <f t="shared" si="21"/>
        <v>783.8548212317219</v>
      </c>
      <c r="G102" s="117">
        <f t="shared" si="21"/>
        <v>1651.3811903245048</v>
      </c>
      <c r="H102" s="117">
        <f t="shared" si="21"/>
        <v>2827.9085770216557</v>
      </c>
      <c r="I102" s="117"/>
      <c r="J102" s="139"/>
    </row>
    <row r="103" spans="1:10" s="144" customFormat="1" ht="25.5">
      <c r="A103" s="116">
        <v>11</v>
      </c>
      <c r="B103" s="136" t="s">
        <v>345</v>
      </c>
      <c r="C103" s="117">
        <v>7.3592</v>
      </c>
      <c r="D103" s="117">
        <f t="shared" si="15"/>
        <v>5.519400000000001</v>
      </c>
      <c r="E103" s="117">
        <f>'[4]РАСЧЕТ'!B13/12*9</f>
        <v>5.519400000000001</v>
      </c>
      <c r="F103" s="117">
        <f>E103/9*3</f>
        <v>1.8398000000000003</v>
      </c>
      <c r="G103" s="117">
        <f>E103/9*6</f>
        <v>3.6796000000000006</v>
      </c>
      <c r="H103" s="117">
        <f t="shared" si="16"/>
        <v>6.439300000000001</v>
      </c>
      <c r="I103" s="117"/>
      <c r="J103" s="139"/>
    </row>
    <row r="104" spans="1:10" s="144" customFormat="1" ht="12.75">
      <c r="A104" s="116" t="s">
        <v>346</v>
      </c>
      <c r="B104" s="120" t="s">
        <v>347</v>
      </c>
      <c r="C104" s="117"/>
      <c r="D104" s="117">
        <f t="shared" si="15"/>
        <v>0</v>
      </c>
      <c r="E104" s="117"/>
      <c r="F104" s="117"/>
      <c r="G104" s="117"/>
      <c r="H104" s="117"/>
      <c r="I104" s="117"/>
      <c r="J104" s="139"/>
    </row>
    <row r="105" spans="1:10" s="144" customFormat="1" ht="15.75">
      <c r="A105" s="116" t="s">
        <v>348</v>
      </c>
      <c r="B105" s="136" t="s">
        <v>349</v>
      </c>
      <c r="C105" s="133">
        <f>C103-C104</f>
        <v>7.3592</v>
      </c>
      <c r="D105" s="117">
        <f t="shared" si="15"/>
        <v>5.519400000000001</v>
      </c>
      <c r="E105" s="133">
        <f>E103-E104</f>
        <v>5.519400000000001</v>
      </c>
      <c r="F105" s="133">
        <f>F103-F104</f>
        <v>1.8398000000000003</v>
      </c>
      <c r="G105" s="133">
        <f>G103-G104</f>
        <v>3.6796000000000006</v>
      </c>
      <c r="H105" s="117">
        <f t="shared" si="16"/>
        <v>6.439300000000001</v>
      </c>
      <c r="I105" s="117"/>
      <c r="J105" s="149"/>
    </row>
    <row r="106" spans="1:10" ht="12.75">
      <c r="A106" s="116">
        <v>12</v>
      </c>
      <c r="B106" s="136" t="s">
        <v>350</v>
      </c>
      <c r="C106" s="133">
        <f aca="true" t="shared" si="22" ref="C106:H106">ROUND(C102/C103,2)</f>
        <v>785.45</v>
      </c>
      <c r="D106" s="133">
        <f t="shared" si="22"/>
        <v>785.45</v>
      </c>
      <c r="E106" s="133">
        <f t="shared" si="22"/>
        <v>442.76</v>
      </c>
      <c r="F106" s="133">
        <f t="shared" si="22"/>
        <v>426.05</v>
      </c>
      <c r="G106" s="133">
        <f t="shared" si="22"/>
        <v>448.79</v>
      </c>
      <c r="H106" s="133">
        <f t="shared" si="22"/>
        <v>439.16</v>
      </c>
      <c r="I106" s="117"/>
      <c r="J106" s="121"/>
    </row>
    <row r="107" spans="1:10" ht="17.25" customHeight="1">
      <c r="A107" s="116">
        <v>13</v>
      </c>
      <c r="B107" s="120" t="s">
        <v>351</v>
      </c>
      <c r="C107" s="117">
        <v>426.05</v>
      </c>
      <c r="D107" s="117"/>
      <c r="E107" s="117"/>
      <c r="F107" s="117"/>
      <c r="G107" s="117"/>
      <c r="H107" s="117"/>
      <c r="I107" s="117"/>
      <c r="J107" s="121"/>
    </row>
    <row r="108" spans="1:10" ht="12.75">
      <c r="A108" s="116">
        <v>14</v>
      </c>
      <c r="B108" s="120" t="s">
        <v>352</v>
      </c>
      <c r="C108" s="117"/>
      <c r="D108" s="117"/>
      <c r="E108" s="117">
        <f>E106/C107*100</f>
        <v>103.92207487384108</v>
      </c>
      <c r="F108" s="117">
        <f>F106/C107*100</f>
        <v>100</v>
      </c>
      <c r="G108" s="117">
        <f>G106/F106*100</f>
        <v>105.33740171341393</v>
      </c>
      <c r="H108" s="117"/>
      <c r="I108" s="117"/>
      <c r="J108" s="121"/>
    </row>
    <row r="110" spans="1:10" ht="12.75" customHeight="1">
      <c r="A110" s="150"/>
      <c r="B110" s="151"/>
      <c r="C110" s="150"/>
      <c r="D110" s="150"/>
      <c r="E110" s="150"/>
      <c r="F110" s="150"/>
      <c r="G110" s="150"/>
      <c r="H110" s="150"/>
      <c r="I110" s="150"/>
      <c r="J110" s="150"/>
    </row>
    <row r="111" spans="1:10" ht="15.75">
      <c r="A111" s="152"/>
      <c r="B111" s="153"/>
      <c r="C111" s="152"/>
      <c r="D111" s="152"/>
      <c r="E111" s="152"/>
      <c r="F111" s="152"/>
      <c r="G111" s="152"/>
      <c r="H111" s="152"/>
      <c r="I111" s="152"/>
      <c r="J111" s="152"/>
    </row>
    <row r="112" spans="1:10" ht="15.75">
      <c r="A112" s="154"/>
      <c r="B112" s="155"/>
      <c r="C112" s="154"/>
      <c r="D112" s="154"/>
      <c r="E112" s="156"/>
      <c r="F112" s="156"/>
      <c r="G112" s="156"/>
      <c r="H112" s="156"/>
      <c r="I112" s="156"/>
      <c r="J112" s="156"/>
    </row>
    <row r="113" spans="1:9" ht="15.75">
      <c r="A113" s="152"/>
      <c r="C113" s="152"/>
      <c r="D113" s="152"/>
      <c r="E113" s="152"/>
      <c r="F113" s="152"/>
      <c r="G113" s="152"/>
      <c r="H113" s="152"/>
      <c r="I113" s="152"/>
    </row>
    <row r="114" spans="2:10" ht="15.75">
      <c r="B114" s="158"/>
      <c r="C114" s="159"/>
      <c r="D114" s="159"/>
      <c r="E114" s="159"/>
      <c r="F114" s="159"/>
      <c r="G114" s="159"/>
      <c r="H114" s="159"/>
      <c r="I114" s="159"/>
      <c r="J114" s="159"/>
    </row>
    <row r="115" spans="1:10" ht="15.75">
      <c r="A115" s="119"/>
      <c r="B115" s="160"/>
      <c r="C115" s="119"/>
      <c r="D115" s="119"/>
      <c r="E115" s="119"/>
      <c r="F115" s="119"/>
      <c r="G115" s="119"/>
      <c r="H115" s="119"/>
      <c r="I115" s="119"/>
      <c r="J115" s="119"/>
    </row>
  </sheetData>
  <sheetProtection/>
  <mergeCells count="7">
    <mergeCell ref="A9:J9"/>
    <mergeCell ref="A1:J1"/>
    <mergeCell ref="A2:J2"/>
    <mergeCell ref="A3:J3"/>
    <mergeCell ref="A5:J5"/>
    <mergeCell ref="A7:J7"/>
    <mergeCell ref="A8:J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komp2</dc:creator>
  <cp:keywords/>
  <dc:description/>
  <cp:lastModifiedBy>komp2</cp:lastModifiedBy>
  <cp:lastPrinted>2014-04-01T04:11:46Z</cp:lastPrinted>
  <dcterms:created xsi:type="dcterms:W3CDTF">2013-09-23T08:42:38Z</dcterms:created>
  <dcterms:modified xsi:type="dcterms:W3CDTF">2014-04-01T08:27:14Z</dcterms:modified>
  <cp:category/>
  <cp:version/>
  <cp:contentType/>
  <cp:contentStatus/>
</cp:coreProperties>
</file>